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Budget\FY26\Budget Prep\"/>
    </mc:Choice>
  </mc:AlternateContent>
  <xr:revisionPtr revIDLastSave="0" documentId="8_{1E81F111-BD4C-402E-B315-F96F72857563}" xr6:coauthVersionLast="47" xr6:coauthVersionMax="47" xr10:uidLastSave="{00000000-0000-0000-0000-000000000000}"/>
  <bookViews>
    <workbookView xWindow="28680" yWindow="-120" windowWidth="29040" windowHeight="15720" xr2:uid="{0CA67091-98DA-4C75-AEE6-D53A66005041}"/>
  </bookViews>
  <sheets>
    <sheet name="FS Rollforward Template" sheetId="4" r:id="rId1"/>
    <sheet name="Insert RPT119 or 119A" sheetId="5" r:id="rId2"/>
    <sheet name="SWB " sheetId="10" r:id="rId3"/>
    <sheet name="SWB Variance Input" sheetId="6" r:id="rId4"/>
    <sheet name="SWB Variables" sheetId="8" state="hidden" r:id="rId5"/>
    <sheet name="Professional Revenue" sheetId="3" r:id="rId6"/>
    <sheet name="Grants &amp; Gifts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9" l="1"/>
  <c r="I16" i="9"/>
  <c r="I18" i="9"/>
  <c r="I19" i="9"/>
  <c r="I20" i="9"/>
  <c r="I21" i="9"/>
  <c r="I22" i="9"/>
  <c r="H40" i="4"/>
  <c r="I17" i="9"/>
  <c r="H23" i="9"/>
  <c r="D10" i="9" s="1"/>
  <c r="E10" i="9" s="1"/>
  <c r="G23" i="9"/>
  <c r="D9" i="9" s="1"/>
  <c r="L36" i="4"/>
  <c r="N36" i="4" s="1"/>
  <c r="L32" i="4"/>
  <c r="N32" i="4" s="1"/>
  <c r="L33" i="4"/>
  <c r="N33" i="4" s="1"/>
  <c r="L34" i="4"/>
  <c r="N34" i="4" s="1"/>
  <c r="L35" i="4"/>
  <c r="N35" i="4" s="1"/>
  <c r="G16" i="3"/>
  <c r="H16" i="3"/>
  <c r="G17" i="3"/>
  <c r="H17" i="3"/>
  <c r="D18" i="3"/>
  <c r="E18" i="3"/>
  <c r="F18" i="3"/>
  <c r="G18" i="3"/>
  <c r="H18" i="3"/>
  <c r="L29" i="10"/>
  <c r="L28" i="10"/>
  <c r="L27" i="10"/>
  <c r="L26" i="10"/>
  <c r="L25" i="10"/>
  <c r="L24" i="10"/>
  <c r="L23" i="10"/>
  <c r="L21" i="10"/>
  <c r="L20" i="10"/>
  <c r="L19" i="10"/>
  <c r="L18" i="10"/>
  <c r="L17" i="10"/>
  <c r="L16" i="10"/>
  <c r="L15" i="10"/>
  <c r="L13" i="10"/>
  <c r="L12" i="10"/>
  <c r="L11" i="10"/>
  <c r="L10" i="10"/>
  <c r="L9" i="10"/>
  <c r="L8" i="10"/>
  <c r="L7" i="10"/>
  <c r="I8" i="10"/>
  <c r="M29" i="10"/>
  <c r="K29" i="10"/>
  <c r="J29" i="10"/>
  <c r="I29" i="10"/>
  <c r="M28" i="10"/>
  <c r="K28" i="10"/>
  <c r="J28" i="10"/>
  <c r="I28" i="10"/>
  <c r="M27" i="10"/>
  <c r="K27" i="10"/>
  <c r="J27" i="10"/>
  <c r="I27" i="10"/>
  <c r="M26" i="10"/>
  <c r="K26" i="10"/>
  <c r="J26" i="10"/>
  <c r="I26" i="10"/>
  <c r="M25" i="10"/>
  <c r="K25" i="10"/>
  <c r="J25" i="10"/>
  <c r="I25" i="10"/>
  <c r="M24" i="10"/>
  <c r="K24" i="10"/>
  <c r="J24" i="10"/>
  <c r="I24" i="10"/>
  <c r="M23" i="10"/>
  <c r="K23" i="10"/>
  <c r="J23" i="10"/>
  <c r="I23" i="10"/>
  <c r="M21" i="10"/>
  <c r="K21" i="10"/>
  <c r="J21" i="10"/>
  <c r="I21" i="10"/>
  <c r="M20" i="10"/>
  <c r="K20" i="10"/>
  <c r="J20" i="10"/>
  <c r="I20" i="10"/>
  <c r="M19" i="10"/>
  <c r="K19" i="10"/>
  <c r="J19" i="10"/>
  <c r="I19" i="10"/>
  <c r="M18" i="10"/>
  <c r="K18" i="10"/>
  <c r="J18" i="10"/>
  <c r="I18" i="10"/>
  <c r="M17" i="10"/>
  <c r="K17" i="10"/>
  <c r="J17" i="10"/>
  <c r="I17" i="10"/>
  <c r="M16" i="10"/>
  <c r="K16" i="10"/>
  <c r="J16" i="10"/>
  <c r="I16" i="10"/>
  <c r="M15" i="10"/>
  <c r="K15" i="10"/>
  <c r="J15" i="10"/>
  <c r="I15" i="10"/>
  <c r="M13" i="10"/>
  <c r="M12" i="10"/>
  <c r="M11" i="10"/>
  <c r="M10" i="10"/>
  <c r="M9" i="10"/>
  <c r="M8" i="10"/>
  <c r="K13" i="10"/>
  <c r="K12" i="10"/>
  <c r="K11" i="10"/>
  <c r="K10" i="10"/>
  <c r="K9" i="10"/>
  <c r="K8" i="10"/>
  <c r="J13" i="10"/>
  <c r="J12" i="10"/>
  <c r="J11" i="10"/>
  <c r="J10" i="10"/>
  <c r="J9" i="10"/>
  <c r="J8" i="10"/>
  <c r="J7" i="10"/>
  <c r="I13" i="10"/>
  <c r="I12" i="10"/>
  <c r="I11" i="10"/>
  <c r="I10" i="10"/>
  <c r="I9" i="10"/>
  <c r="P29" i="10"/>
  <c r="P28" i="10"/>
  <c r="P27" i="10"/>
  <c r="P26" i="10"/>
  <c r="P25" i="10"/>
  <c r="P24" i="10"/>
  <c r="P23" i="10"/>
  <c r="D29" i="10"/>
  <c r="G29" i="10" s="1"/>
  <c r="F29" i="10" s="1"/>
  <c r="D28" i="10"/>
  <c r="G28" i="10" s="1"/>
  <c r="F28" i="10" s="1"/>
  <c r="D27" i="10"/>
  <c r="G27" i="10" s="1"/>
  <c r="F27" i="10" s="1"/>
  <c r="D26" i="10"/>
  <c r="G26" i="10" s="1"/>
  <c r="F26" i="10" s="1"/>
  <c r="D25" i="10"/>
  <c r="G25" i="10" s="1"/>
  <c r="F25" i="10" s="1"/>
  <c r="D24" i="10"/>
  <c r="G24" i="10" s="1"/>
  <c r="F24" i="10" s="1"/>
  <c r="D23" i="10"/>
  <c r="G23" i="10" s="1"/>
  <c r="F23" i="10" s="1"/>
  <c r="P21" i="10"/>
  <c r="P20" i="10"/>
  <c r="P19" i="10"/>
  <c r="P18" i="10"/>
  <c r="P17" i="10"/>
  <c r="P16" i="10"/>
  <c r="P15" i="10"/>
  <c r="P13" i="10"/>
  <c r="P12" i="10"/>
  <c r="P11" i="10"/>
  <c r="P10" i="10"/>
  <c r="P9" i="10"/>
  <c r="P8" i="10"/>
  <c r="P7" i="10"/>
  <c r="G7" i="10"/>
  <c r="M7" i="10"/>
  <c r="K7" i="10"/>
  <c r="I7" i="10"/>
  <c r="D21" i="10"/>
  <c r="D20" i="10"/>
  <c r="D19" i="10"/>
  <c r="D18" i="10"/>
  <c r="D17" i="10"/>
  <c r="D16" i="10"/>
  <c r="D15" i="10"/>
  <c r="D9" i="10"/>
  <c r="D10" i="10"/>
  <c r="D11" i="10"/>
  <c r="D12" i="10"/>
  <c r="D13" i="10"/>
  <c r="E9" i="9" l="1"/>
  <c r="D11" i="9"/>
  <c r="N26" i="10"/>
  <c r="N24" i="10"/>
  <c r="N29" i="10"/>
  <c r="N18" i="10"/>
  <c r="N25" i="10"/>
  <c r="N17" i="10"/>
  <c r="N23" i="10"/>
  <c r="N28" i="10"/>
  <c r="N19" i="10"/>
  <c r="N15" i="10"/>
  <c r="N20" i="10"/>
  <c r="N16" i="10"/>
  <c r="N21" i="10"/>
  <c r="N27" i="10"/>
  <c r="N12" i="10"/>
  <c r="N13" i="10"/>
  <c r="N10" i="10"/>
  <c r="N11" i="10"/>
  <c r="N9" i="10"/>
  <c r="N8" i="10"/>
  <c r="N7" i="10"/>
  <c r="G21" i="10" l="1"/>
  <c r="F21" i="10" s="1"/>
  <c r="G20" i="10"/>
  <c r="F20" i="10" s="1"/>
  <c r="G19" i="10"/>
  <c r="F19" i="10" s="1"/>
  <c r="G18" i="10"/>
  <c r="F18" i="10" s="1"/>
  <c r="G17" i="10"/>
  <c r="F17" i="10" s="1"/>
  <c r="G16" i="10"/>
  <c r="F16" i="10" s="1"/>
  <c r="G15" i="10"/>
  <c r="F15" i="10" s="1"/>
  <c r="G13" i="10"/>
  <c r="F13" i="10" s="1"/>
  <c r="G12" i="10"/>
  <c r="F12" i="10" s="1"/>
  <c r="G11" i="10"/>
  <c r="F11" i="10" s="1"/>
  <c r="G10" i="10"/>
  <c r="F10" i="10" s="1"/>
  <c r="G9" i="10"/>
  <c r="F9" i="10" s="1"/>
  <c r="G8" i="10"/>
  <c r="F8" i="10" s="1"/>
  <c r="F7" i="10"/>
  <c r="A23" i="9" l="1"/>
  <c r="I23" i="9"/>
  <c r="C7" i="9" l="1"/>
  <c r="C5" i="9"/>
  <c r="D13" i="3"/>
  <c r="G11" i="3"/>
  <c r="H11" i="3"/>
  <c r="G12" i="3"/>
  <c r="H12" i="3"/>
  <c r="E13" i="3"/>
  <c r="F13" i="3"/>
  <c r="E7" i="3"/>
  <c r="D7" i="3"/>
  <c r="H15" i="4"/>
  <c r="H21" i="4"/>
  <c r="L37" i="4"/>
  <c r="N37" i="4" s="1"/>
  <c r="L31" i="4"/>
  <c r="N31" i="4" s="1"/>
  <c r="L30" i="4"/>
  <c r="N30" i="4" s="1"/>
  <c r="L29" i="4"/>
  <c r="N29" i="4" s="1"/>
  <c r="L28" i="4"/>
  <c r="N28" i="4" s="1"/>
  <c r="L27" i="4"/>
  <c r="N27" i="4" s="1"/>
  <c r="L26" i="4"/>
  <c r="N26" i="4" s="1"/>
  <c r="L25" i="4"/>
  <c r="N25" i="4" s="1"/>
  <c r="L24" i="4"/>
  <c r="N24" i="4" s="1"/>
  <c r="L23" i="4"/>
  <c r="N23" i="4" s="1"/>
  <c r="L20" i="4"/>
  <c r="N20" i="4" s="1"/>
  <c r="L19" i="4"/>
  <c r="N19" i="4" s="1"/>
  <c r="L18" i="4"/>
  <c r="N18" i="4" s="1"/>
  <c r="L14" i="4"/>
  <c r="L13" i="4"/>
  <c r="L12" i="4"/>
  <c r="G13" i="3" l="1"/>
  <c r="H13" i="3"/>
  <c r="K21" i="4"/>
  <c r="K38" i="4" s="1"/>
  <c r="J21" i="4"/>
  <c r="J38" i="4" s="1"/>
  <c r="I21" i="4"/>
  <c r="I38" i="4" s="1"/>
  <c r="H38" i="4"/>
  <c r="F21" i="4"/>
  <c r="F38" i="4" s="1"/>
  <c r="D21" i="4"/>
  <c r="D38" i="4" s="1"/>
  <c r="L21" i="4"/>
  <c r="K15" i="4"/>
  <c r="J15" i="4"/>
  <c r="J40" i="4" s="1"/>
  <c r="I15" i="4"/>
  <c r="F15" i="4"/>
  <c r="D15" i="4"/>
  <c r="N14" i="4"/>
  <c r="N13" i="4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N12" i="4"/>
  <c r="F7" i="3"/>
  <c r="H6" i="3"/>
  <c r="G6" i="3"/>
  <c r="H5" i="3"/>
  <c r="G5" i="3"/>
  <c r="C10" i="9" l="1"/>
  <c r="K40" i="4"/>
  <c r="C11" i="9" s="1"/>
  <c r="E11" i="9" s="1"/>
  <c r="I40" i="4"/>
  <c r="F40" i="4"/>
  <c r="A40" i="4"/>
  <c r="C9" i="9"/>
  <c r="L38" i="4"/>
  <c r="L40" i="4" s="1"/>
  <c r="L15" i="4"/>
  <c r="D40" i="4"/>
  <c r="G7" i="3"/>
  <c r="H7" i="3"/>
  <c r="N15" i="4"/>
  <c r="N21" i="4"/>
  <c r="N38" i="4" s="1"/>
  <c r="N4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Ledbetter, Anna Jane</author>
  </authors>
  <commentList>
    <comment ref="D5" authorId="0" shapeId="0" xr:uid="{49760903-FE77-4785-A349-29D96B249426}">
      <text>
        <r>
          <rPr>
            <b/>
            <sz val="9"/>
            <color indexed="81"/>
            <rFont val="Tahoma"/>
            <family val="2"/>
          </rPr>
          <t xml:space="preserve">Enter numbers from Q2 Forecast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E5" authorId="0" shapeId="0" xr:uid="{2C214968-4BB4-4306-B8DA-804795845519}">
      <text>
        <r>
          <rPr>
            <b/>
            <sz val="9"/>
            <color indexed="81"/>
            <rFont val="Tahoma"/>
            <family val="2"/>
          </rPr>
          <t xml:space="preserve">Enter numbers from Q2 Forecast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F5" authorId="0" shapeId="0" xr:uid="{A6A78519-6DA0-46DB-8CFD-336011A1F076}">
      <text>
        <r>
          <rPr>
            <b/>
            <sz val="9"/>
            <color indexed="81"/>
            <rFont val="Tahoma"/>
            <family val="2"/>
          </rPr>
          <t xml:space="preserve">Enter numbers from Q2 Forecast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D6" authorId="0" shapeId="0" xr:uid="{7C5E9DB3-3987-4F37-9282-0115C167778F}">
      <text>
        <r>
          <rPr>
            <b/>
            <sz val="9"/>
            <color indexed="81"/>
            <rFont val="Tahoma"/>
            <family val="2"/>
          </rPr>
          <t xml:space="preserve">Enter numbers for FY25 Budget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E6" authorId="0" shapeId="0" xr:uid="{90138345-273D-47A3-BF63-2B4FA05356B6}">
      <text>
        <r>
          <rPr>
            <b/>
            <sz val="9"/>
            <color indexed="81"/>
            <rFont val="Tahoma"/>
            <family val="2"/>
          </rPr>
          <t xml:space="preserve">Enter numbers for FY25 Budget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F6" authorId="0" shapeId="0" xr:uid="{3A19C522-C72D-491A-B5DA-CD61E4D7ED51}">
      <text>
        <r>
          <rPr>
            <b/>
            <sz val="9"/>
            <color indexed="81"/>
            <rFont val="Tahoma"/>
            <family val="2"/>
          </rPr>
          <t xml:space="preserve">Enter numbers for FY25 Budget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D11" authorId="0" shapeId="0" xr:uid="{CECA9521-0A3E-487B-83F7-F23620597BBE}">
      <text>
        <r>
          <rPr>
            <b/>
            <sz val="9"/>
            <color indexed="81"/>
            <rFont val="Tahoma"/>
            <family val="2"/>
          </rPr>
          <t xml:space="preserve">Enter numbers from Q2 Forecast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E11" authorId="0" shapeId="0" xr:uid="{DFB473F1-3789-46EE-8D40-EEF09BCCB173}">
      <text>
        <r>
          <rPr>
            <b/>
            <sz val="9"/>
            <color indexed="81"/>
            <rFont val="Tahoma"/>
            <family val="2"/>
          </rPr>
          <t xml:space="preserve">Enter numbers from Q2 Forecast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F11" authorId="0" shapeId="0" xr:uid="{4279ADDF-FDCD-4531-A060-BFA74B7BF54E}">
      <text>
        <r>
          <rPr>
            <b/>
            <sz val="9"/>
            <color indexed="81"/>
            <rFont val="Tahoma"/>
            <family val="2"/>
          </rPr>
          <t xml:space="preserve">Enter numbers from Q2 Forecast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D12" authorId="0" shapeId="0" xr:uid="{51B06CDF-D832-4EF9-8986-0689D7C1A892}">
      <text>
        <r>
          <rPr>
            <b/>
            <sz val="9"/>
            <color indexed="81"/>
            <rFont val="Tahoma"/>
            <family val="2"/>
          </rPr>
          <t xml:space="preserve">Enter numbers from Q1 Forecast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E12" authorId="0" shapeId="0" xr:uid="{4E6AA7CF-E7C7-4D44-BE4B-7119186C2721}">
      <text>
        <r>
          <rPr>
            <b/>
            <sz val="9"/>
            <color indexed="81"/>
            <rFont val="Tahoma"/>
            <family val="2"/>
          </rPr>
          <t xml:space="preserve">Enter numbers from Q1 Forecast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F12" authorId="0" shapeId="0" xr:uid="{49D39575-E751-4735-B4A8-5B4F462BBE84}">
      <text>
        <r>
          <rPr>
            <b/>
            <sz val="9"/>
            <color indexed="81"/>
            <rFont val="Tahoma"/>
            <family val="2"/>
          </rPr>
          <t xml:space="preserve">Enter numbers from Q1Forecast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D16" authorId="0" shapeId="0" xr:uid="{CC2B7B90-5713-401D-B88D-38B27C0C6DA9}">
      <text>
        <r>
          <rPr>
            <b/>
            <sz val="9"/>
            <color indexed="81"/>
            <rFont val="Tahoma"/>
            <family val="2"/>
          </rPr>
          <t xml:space="preserve">Enter numbers from Q1 Forecast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E16" authorId="0" shapeId="0" xr:uid="{182A3DE5-BB0B-4373-B5F5-FBA04A72123F}">
      <text>
        <r>
          <rPr>
            <b/>
            <sz val="9"/>
            <color indexed="81"/>
            <rFont val="Tahoma"/>
            <family val="2"/>
          </rPr>
          <t xml:space="preserve">Enter numbers from Q1 Forecast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F16" authorId="0" shapeId="0" xr:uid="{F9831E27-AA52-45B4-883F-334C2AD0408E}">
      <text>
        <r>
          <rPr>
            <b/>
            <sz val="9"/>
            <color indexed="81"/>
            <rFont val="Tahoma"/>
            <family val="2"/>
          </rPr>
          <t xml:space="preserve">Enter numbers from Q1 Forecast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D17" authorId="0" shapeId="0" xr:uid="{E19D8E80-7468-4755-9A9A-955914AFC814}">
      <text>
        <r>
          <rPr>
            <b/>
            <sz val="9"/>
            <color indexed="81"/>
            <rFont val="Tahoma"/>
            <family val="2"/>
          </rPr>
          <t xml:space="preserve">Enter numbers from Q1 Forecast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E17" authorId="0" shapeId="0" xr:uid="{C4CC2598-9C19-49CC-80EE-A9E8DA5877C5}">
      <text>
        <r>
          <rPr>
            <b/>
            <sz val="9"/>
            <color indexed="81"/>
            <rFont val="Tahoma"/>
            <family val="2"/>
          </rPr>
          <t xml:space="preserve">Enter numbers from Q1 Forecast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  <comment ref="F17" authorId="0" shapeId="0" xr:uid="{1064C41D-DAEC-446D-BAD4-DD60D33FBE7A}">
      <text>
        <r>
          <rPr>
            <b/>
            <sz val="9"/>
            <color indexed="81"/>
            <rFont val="Tahoma"/>
            <family val="2"/>
          </rPr>
          <t xml:space="preserve">Enter numbers from Q1Forecast 
</t>
        </r>
        <r>
          <rPr>
            <sz val="9"/>
            <color indexed="81"/>
            <rFont val="Tahoma"/>
            <family val="2"/>
          </rPr>
          <t xml:space="preserve">
Use Adaptive report: 3 - FCST - PB Revenue - Summary Forecast vs Budget - Departments</t>
        </r>
      </text>
    </comment>
  </commentList>
</comments>
</file>

<file path=xl/sharedStrings.xml><?xml version="1.0" encoding="utf-8"?>
<sst xmlns="http://schemas.openxmlformats.org/spreadsheetml/2006/main" count="459" uniqueCount="310">
  <si>
    <t>Rollforward:  FY25 Budget to Q2 Forecast</t>
  </si>
  <si>
    <t>From RPT119 or RPT119A</t>
  </si>
  <si>
    <t>User Input</t>
  </si>
  <si>
    <t>Calculation</t>
  </si>
  <si>
    <t>Total AE</t>
  </si>
  <si>
    <t>FY25 BDGT</t>
  </si>
  <si>
    <t>OE VMG</t>
  </si>
  <si>
    <t>OE Acad RA or OE Clin RA</t>
  </si>
  <si>
    <t>OEAcad or OEClin Edu</t>
  </si>
  <si>
    <t>OE Acad CC</t>
  </si>
  <si>
    <t>OE GG</t>
  </si>
  <si>
    <t>Q2 FCST</t>
  </si>
  <si>
    <t>Variance</t>
  </si>
  <si>
    <t>Revenue</t>
  </si>
  <si>
    <t>Professional Revenue</t>
  </si>
  <si>
    <t>Please provide these explanations on the Professional Revenue tab</t>
  </si>
  <si>
    <t>OE VMG:</t>
  </si>
  <si>
    <t>Academic &amp; Research</t>
  </si>
  <si>
    <t>Other Operating</t>
  </si>
  <si>
    <t>Total Revenue</t>
  </si>
  <si>
    <t>Expense</t>
  </si>
  <si>
    <t>OE_RA:</t>
  </si>
  <si>
    <t>SWB</t>
  </si>
  <si>
    <t>Staff Salaries</t>
  </si>
  <si>
    <t>Faculty Salaries</t>
  </si>
  <si>
    <t>Fringe</t>
  </si>
  <si>
    <t>OE EDU:</t>
  </si>
  <si>
    <t>Total SWB</t>
  </si>
  <si>
    <t>Services and Other</t>
  </si>
  <si>
    <t>Hospital Support</t>
  </si>
  <si>
    <t xml:space="preserve">Please provide explanations below for material variances
Enter variances in applicable lines and sum of small variances can be added to line 24 "Other" to balance to RPT119 or RPT119a
</t>
  </si>
  <si>
    <t>OE CC:</t>
  </si>
  <si>
    <t>Contract Labor</t>
  </si>
  <si>
    <t>VMG Revenue Taxes</t>
  </si>
  <si>
    <t>Professional Services</t>
  </si>
  <si>
    <t>Subcontracts</t>
  </si>
  <si>
    <t>Insurance Expense</t>
  </si>
  <si>
    <t>Research and Education</t>
  </si>
  <si>
    <t>Travel and Entertainment</t>
  </si>
  <si>
    <t>Supplies &amp; Drugs</t>
  </si>
  <si>
    <t>Facilities &amp; Equip</t>
  </si>
  <si>
    <t>Other</t>
  </si>
  <si>
    <t>Total Expense</t>
  </si>
  <si>
    <t>Net Income</t>
  </si>
  <si>
    <t>[A]</t>
  </si>
  <si>
    <t>Ending balances should agree with Department's Report 119 (Clinical) and Report 119a (Non-Clin/G&amp;A) in Adaptive.</t>
  </si>
  <si>
    <t>Q2 Fcst v FY25 Bud</t>
  </si>
  <si>
    <t>Please ensure that the Total Variance $ amount (Column M) for the Operating Entity (Column A) and Natural Class (Column B) match the corresponding adjustments on the "FS Rollforward Template"</t>
  </si>
  <si>
    <t>Operating Entity</t>
  </si>
  <si>
    <t>Natural Class</t>
  </si>
  <si>
    <t>Q1 Forecast</t>
  </si>
  <si>
    <t>Q2 Forecast</t>
  </si>
  <si>
    <t>FY25 Budget</t>
  </si>
  <si>
    <t xml:space="preserve"> Variance %</t>
  </si>
  <si>
    <t>Variance $</t>
  </si>
  <si>
    <t>Incentives ($$$'s)</t>
  </si>
  <si>
    <t>Market ($$$'s)</t>
  </si>
  <si>
    <r>
      <t>Net New Providers ($$</t>
    </r>
    <r>
      <rPr>
        <b/>
        <sz val="11"/>
        <rFont val="Calibri"/>
        <family val="2"/>
        <scheme val="minor"/>
      </rPr>
      <t>$'s)</t>
    </r>
  </si>
  <si>
    <t>Other ($$$'s)</t>
  </si>
  <si>
    <t>Total Variance $$$'s</t>
  </si>
  <si>
    <t>FTE Changes (Counts)</t>
  </si>
  <si>
    <t>Explanation and Notes</t>
  </si>
  <si>
    <t>OEClin_RA</t>
  </si>
  <si>
    <t>OEClin_VMG</t>
  </si>
  <si>
    <t>OEClin_Edu</t>
  </si>
  <si>
    <t>OEAcad_RA</t>
  </si>
  <si>
    <t>OEAcad_CC</t>
  </si>
  <si>
    <t>OEAcad_Edu</t>
  </si>
  <si>
    <t>OEAcad_GG</t>
  </si>
  <si>
    <t>Fringe Benefits</t>
  </si>
  <si>
    <t>Salaries, Wages, and Benefits Explanations</t>
  </si>
  <si>
    <t xml:space="preserve">Notes: </t>
  </si>
  <si>
    <t>Please ensure that the total adjustment amount for the Operating Entity (Column A) and Natural Class (Column C) match the corresponding adjustments on the "FS Rollforward Template"</t>
  </si>
  <si>
    <t>Amount (Column F): represents the variance between FY25Q2 Forecast and FY25 Budget</t>
  </si>
  <si>
    <t>Please ensure that FTE Change (Column I) match Adaptive report "7. FTE &amp; Salaries"</t>
  </si>
  <si>
    <t>Use Drop Down</t>
  </si>
  <si>
    <t>Explanation Examples</t>
  </si>
  <si>
    <t>Incentives and Market</t>
  </si>
  <si>
    <t>Higher Comp Accrual</t>
  </si>
  <si>
    <t>Dept/Division</t>
  </si>
  <si>
    <t>Name</t>
  </si>
  <si>
    <t>Type</t>
  </si>
  <si>
    <t>Amount</t>
  </si>
  <si>
    <t>Explanation/Options</t>
  </si>
  <si>
    <t>Other Notes</t>
  </si>
  <si>
    <t>FTE Changes</t>
  </si>
  <si>
    <t>Net New Providers</t>
  </si>
  <si>
    <t>Budgeted in Other Natural Class Line (For Ex:Not Budgeted in Salary - Budgeted in APS/Other Account)</t>
  </si>
  <si>
    <t>Anesthesiology</t>
  </si>
  <si>
    <t>John Doe</t>
  </si>
  <si>
    <t>Incentives</t>
  </si>
  <si>
    <t>Unbudgeted Position-budgeted as faculty but filled as non faculty providers</t>
  </si>
  <si>
    <t>Unbudgeted Position</t>
  </si>
  <si>
    <t>Unbudgeted Productivity Pay</t>
  </si>
  <si>
    <t>Unbudgeted Additional Coverage Pay</t>
  </si>
  <si>
    <t>Unbudgeted Other Add'l Pay</t>
  </si>
  <si>
    <t>Unbudgeted Salary Adj</t>
  </si>
  <si>
    <t>Unbudgeted Grant Salary</t>
  </si>
  <si>
    <t>Salary Moved to Grant/ Contract/  Endowment</t>
  </si>
  <si>
    <t>Faculty Resigned/ Left Dept</t>
  </si>
  <si>
    <t>Early or delayed start dates</t>
  </si>
  <si>
    <t>Unbudgeted Positions but increased in Gifts &amp; Grants revenue</t>
  </si>
  <si>
    <t>Budgeted (or accrued) in Faculty Salary</t>
  </si>
  <si>
    <t>Budgeted positions not hired</t>
  </si>
  <si>
    <t>Change in status- originally budgeted as non faculty provider and changed to faculty status</t>
  </si>
  <si>
    <t>Workday Default Center getting charged for expense that needs adjusted to grants/correct entity</t>
  </si>
  <si>
    <t>Prior Year Reversal Lower than Actual Comp Payout</t>
  </si>
  <si>
    <t xml:space="preserve">Other-*Please add additional Comments </t>
  </si>
  <si>
    <t>Department</t>
  </si>
  <si>
    <t>Explanations/Options</t>
  </si>
  <si>
    <t>Dermatology</t>
  </si>
  <si>
    <t>Emergency Medicine</t>
  </si>
  <si>
    <t>Market</t>
  </si>
  <si>
    <t>Hearing and Speech</t>
  </si>
  <si>
    <t>Medicine</t>
  </si>
  <si>
    <t>Medicine -  Allergy/Pulmonary Division</t>
  </si>
  <si>
    <t>Medicine -  Cardiology Division</t>
  </si>
  <si>
    <t>Medicine -  Clinical Pharmacology Division</t>
  </si>
  <si>
    <t>Medicine -  Dermatology Division</t>
  </si>
  <si>
    <t>Medicine -  Diabetes/Endocrinology Division</t>
  </si>
  <si>
    <t>Medicine -  Epidemiology Division</t>
  </si>
  <si>
    <t>Medicine -  Gastroenterology Division</t>
  </si>
  <si>
    <t>Medicine -  Genetic Medicine Division</t>
  </si>
  <si>
    <t>Medicine -  Geriatrics Division</t>
  </si>
  <si>
    <t>Medicine -  Hematology/Oncology Division</t>
  </si>
  <si>
    <t>Medicine -  Infectious Diseases Division</t>
  </si>
  <si>
    <t>Medicine -  Internal Medicine Division</t>
  </si>
  <si>
    <t>Medicine -  Medicine Administration Division</t>
  </si>
  <si>
    <t>Medicine -  Nephrology Division</t>
  </si>
  <si>
    <t>Medicine -  Rheumatology Division</t>
  </si>
  <si>
    <t>Neurology</t>
  </si>
  <si>
    <t>Neurology -  Admin Chairman Division</t>
  </si>
  <si>
    <t>Neurology -  Cognitive Division</t>
  </si>
  <si>
    <t>Neurology -  Epilepsy Division</t>
  </si>
  <si>
    <t>Neurology -  General Neurology Division</t>
  </si>
  <si>
    <t>Neurology -  Headache Division</t>
  </si>
  <si>
    <t>Neurology -  Inpatient and Emergency Neurology Division (CCH)</t>
  </si>
  <si>
    <t>Neurology -  Movements Disorders Division</t>
  </si>
  <si>
    <t>Neurology -  Neuroimmunology Division</t>
  </si>
  <si>
    <t>Neurology -  Neurology Oncology Division</t>
  </si>
  <si>
    <t>Neurology -  Neuromuscular Division</t>
  </si>
  <si>
    <t>Neurology -  Sleep Disorders Division</t>
  </si>
  <si>
    <t>Neurology -  Stroke Division</t>
  </si>
  <si>
    <t>Ob/Gyn</t>
  </si>
  <si>
    <t>Ob/Gyn Administration Division</t>
  </si>
  <si>
    <t>Ob/Gyn Columbia Division</t>
  </si>
  <si>
    <t>Ob/Gyn Education Division</t>
  </si>
  <si>
    <t>Ob/Gyn Franklin Division</t>
  </si>
  <si>
    <t>Ob/Gyn Generalist Division</t>
  </si>
  <si>
    <t>Ob/Gyn Gynecology Division</t>
  </si>
  <si>
    <t>Ob/Gyn Lebanon Division</t>
  </si>
  <si>
    <t>Ob/Gyn MFM Division</t>
  </si>
  <si>
    <t>Ob/Gyn Northcrest Division</t>
  </si>
  <si>
    <t>Ob/Gyn Oncology Division</t>
  </si>
  <si>
    <t>Ob/Gyn REI Division</t>
  </si>
  <si>
    <t>Ob/Gyn Research Division</t>
  </si>
  <si>
    <t>Ob/Gyn Restricted Division</t>
  </si>
  <si>
    <t>Ob/Gyn Urogynecology Division</t>
  </si>
  <si>
    <t>Ophthalmology</t>
  </si>
  <si>
    <t>Ophthalmology Admin Department</t>
  </si>
  <si>
    <t>Ophthalmology Admin Division</t>
  </si>
  <si>
    <t>Ophthalmology Clinic Department</t>
  </si>
  <si>
    <t>Ophthalmology Campus Division</t>
  </si>
  <si>
    <t>Ophthalmology Franklin Division</t>
  </si>
  <si>
    <t>Ophthalmology Hendersonville Division</t>
  </si>
  <si>
    <t>Ophthalmology Lebanon Division</t>
  </si>
  <si>
    <t>Ophthalmology Murfreesboro Division</t>
  </si>
  <si>
    <t>Orthopaedics</t>
  </si>
  <si>
    <t>Otolaryngology</t>
  </si>
  <si>
    <t>Pathology</t>
  </si>
  <si>
    <t>Pediatrics</t>
  </si>
  <si>
    <t>Pediatric Cardiology Division</t>
  </si>
  <si>
    <t>Pediatric Chairman's Office Division</t>
  </si>
  <si>
    <t>Pediatric Critical Care Division</t>
  </si>
  <si>
    <t>Pediatric Emergency Medicine Division</t>
  </si>
  <si>
    <t>Pediatric Endocrinology Division</t>
  </si>
  <si>
    <t>Pediatric Gastroenterology Division</t>
  </si>
  <si>
    <t>Pediatric Genetics Division</t>
  </si>
  <si>
    <t>Pediatric Hematology Division</t>
  </si>
  <si>
    <t>Pediatric Hospital Medicine Division</t>
  </si>
  <si>
    <t>Pediatric Infectious Diseases Division</t>
  </si>
  <si>
    <t>Pediatric Nephrology Division</t>
  </si>
  <si>
    <t>Pediatric Neurology Division</t>
  </si>
  <si>
    <t>Pediatric Outreach Medicine Division</t>
  </si>
  <si>
    <t>Pediatric Psychology Division</t>
  </si>
  <si>
    <t>Pediatric Pulmonary Medicine Division</t>
  </si>
  <si>
    <t>Pediatric Rheumatology Division</t>
  </si>
  <si>
    <t>Pediatric Toxicology Division</t>
  </si>
  <si>
    <t>Physical Medicine and Rehab</t>
  </si>
  <si>
    <t>Psychiatry and Behavioral Sciences</t>
  </si>
  <si>
    <t>Radiation Oncology</t>
  </si>
  <si>
    <t>Radiology</t>
  </si>
  <si>
    <t>Surgery</t>
  </si>
  <si>
    <t>Surgery -  Adult Cardiac Department</t>
  </si>
  <si>
    <t>Surgery -  Adult Cardiac Division</t>
  </si>
  <si>
    <t>Surgery -  Closed Urology Department</t>
  </si>
  <si>
    <t>Surgery -  Closed Adult Urology Division</t>
  </si>
  <si>
    <t>Surgery -  Closed Pediatric Urology Division</t>
  </si>
  <si>
    <t>Surgery -  Dept of Surgery Department</t>
  </si>
  <si>
    <t>Surgery -  Dept of Surg Core Division</t>
  </si>
  <si>
    <t>Surgery -  General Surgery Division</t>
  </si>
  <si>
    <t>Surgery -  Liver Transplant Division</t>
  </si>
  <si>
    <t>Surgery -  Renal Transplant Division</t>
  </si>
  <si>
    <t>Surgery -  Surgical Oncology Division</t>
  </si>
  <si>
    <t>Surgery -  Trauma Division</t>
  </si>
  <si>
    <t>Surgery -  Williamson Co Gen Surg Division</t>
  </si>
  <si>
    <t>Surgery -  Neurosurgery Department</t>
  </si>
  <si>
    <t>Surgery -  Neurosurgery Division</t>
  </si>
  <si>
    <t>Surgery -  Pediatric Neurosurgery Division</t>
  </si>
  <si>
    <t>Surgery -  Oral Maxillofacial Department</t>
  </si>
  <si>
    <t>Surgery -  Dentistry Division</t>
  </si>
  <si>
    <t>Surgery -  Oral Surgery Division</t>
  </si>
  <si>
    <t>Surgery -  Orthodontics Division</t>
  </si>
  <si>
    <t>Surgery -  Pediatric Cardiac Department</t>
  </si>
  <si>
    <t>Surgery -  Pediatric Cardiac Division</t>
  </si>
  <si>
    <t>Surgery -  Pediatric Surgery Department</t>
  </si>
  <si>
    <t>Surgery -  Pediatric Surgery Division</t>
  </si>
  <si>
    <t>Surgery -  Plastic Surgery Department</t>
  </si>
  <si>
    <t>Surgery -  Plastic Surgery Division</t>
  </si>
  <si>
    <t>Surgery -  Section Admin/Res Department</t>
  </si>
  <si>
    <t>Surgery -  Section Admin Division</t>
  </si>
  <si>
    <t>Surgery -  Section Research Division</t>
  </si>
  <si>
    <t>Surgery -  Thoracic Surgery Department</t>
  </si>
  <si>
    <t>Surgery -  Thoracic Surgery Division</t>
  </si>
  <si>
    <t>Surgery -  Vascular Surgery Division</t>
  </si>
  <si>
    <t>Surgery -  Div Of Vascular Sgy - VSVPP3</t>
  </si>
  <si>
    <t>Surgery -  Vascular Research Rest</t>
  </si>
  <si>
    <t>Surgery -  Vascular Surgery</t>
  </si>
  <si>
    <t>Urology</t>
  </si>
  <si>
    <t>Center for Biomedical Ethics and Society</t>
  </si>
  <si>
    <t>Center for Quantitative Sciences</t>
  </si>
  <si>
    <t>Closed Centers AEOPS</t>
  </si>
  <si>
    <t>Department of Biomedical Informatics</t>
  </si>
  <si>
    <t>Department of Biostatistics</t>
  </si>
  <si>
    <t>Department of Health Policy</t>
  </si>
  <si>
    <t>Epithelial Biology Center</t>
  </si>
  <si>
    <t>Institute for Experimental Therapeutics</t>
  </si>
  <si>
    <t>Transplant Center</t>
  </si>
  <si>
    <t>Vanderbilt Center for Immunobiology</t>
  </si>
  <si>
    <t>Vanderbilt Center for Transplant Sciences (VCTS)</t>
  </si>
  <si>
    <t>Vanderbilt Diabetes Center</t>
  </si>
  <si>
    <t>Vanderbilt Genetics Institute</t>
  </si>
  <si>
    <t>Vanderbilt Institute for Global Health</t>
  </si>
  <si>
    <t>Vanderbilt Institute for Medicine and Public Health</t>
  </si>
  <si>
    <t>Vanderbilt Kennedy Center</t>
  </si>
  <si>
    <t>Vanderbilt Memory and Alzheimer's Center</t>
  </si>
  <si>
    <t>Vanderbilt University Institute of Imaging Science</t>
  </si>
  <si>
    <t>Vanderbilt Vaccine Center</t>
  </si>
  <si>
    <t>Vanderbilt-Ingram Cancer Center</t>
  </si>
  <si>
    <t>VI4</t>
  </si>
  <si>
    <t>VICTR Department</t>
  </si>
  <si>
    <t>Academic Operations</t>
  </si>
  <si>
    <t>Animal Care Department</t>
  </si>
  <si>
    <t>Central Administration Department</t>
  </si>
  <si>
    <t>Environmental Services Department</t>
  </si>
  <si>
    <t>Multimedia Services Department</t>
  </si>
  <si>
    <t>Office of Faculty Affairs Department</t>
  </si>
  <si>
    <t>Office of Health Science Education Department</t>
  </si>
  <si>
    <t>Office of Research Department</t>
  </si>
  <si>
    <t>Office of Sponsored Programs Department</t>
  </si>
  <si>
    <t>Vanderbilt Physician Science Development Program Department</t>
  </si>
  <si>
    <t>Charges</t>
  </si>
  <si>
    <t>Collections</t>
  </si>
  <si>
    <t>wRVUs &amp; ASAs</t>
  </si>
  <si>
    <t>Charges per wRVU &amp; ASA</t>
  </si>
  <si>
    <t>Collection Rate</t>
  </si>
  <si>
    <t>Adaptive Report:</t>
  </si>
  <si>
    <t>FY25 Q2 Forecast</t>
  </si>
  <si>
    <t>Selections:</t>
  </si>
  <si>
    <t>FY25 Q1 Forecast</t>
  </si>
  <si>
    <t>What are the variance drivers?</t>
  </si>
  <si>
    <t>Q2 FCST vs Budget</t>
  </si>
  <si>
    <t>Q2 FCST vs Q1 FCST</t>
  </si>
  <si>
    <t>Specific Provider(s): please provide Provider name</t>
  </si>
  <si>
    <t>If related to a specific provider, is it due to a departure, ramp up, future start date, etc…?</t>
  </si>
  <si>
    <t>What is driving Collection Rate? (Charge Lag, Staffing Issues, Workload, etc…)</t>
  </si>
  <si>
    <t>Any large changes from FY25 Budget or Q1 Forecast?</t>
  </si>
  <si>
    <r>
      <rPr>
        <sz val="14"/>
        <color rgb="FF00B050"/>
        <rFont val="Calibri"/>
        <family val="2"/>
        <scheme val="minor"/>
      </rPr>
      <t>Please explain</t>
    </r>
    <r>
      <rPr>
        <b/>
        <sz val="14"/>
        <color rgb="FF00B050"/>
        <rFont val="Calibri"/>
        <family val="2"/>
        <scheme val="minor"/>
      </rPr>
      <t xml:space="preserve"> </t>
    </r>
    <r>
      <rPr>
        <b/>
        <u/>
        <sz val="14"/>
        <color rgb="FF00B050"/>
        <rFont val="Calibri"/>
        <family val="2"/>
        <scheme val="minor"/>
      </rPr>
      <t>materia</t>
    </r>
    <r>
      <rPr>
        <b/>
        <sz val="14"/>
        <color rgb="FF00B050"/>
        <rFont val="Calibri"/>
        <family val="2"/>
        <scheme val="minor"/>
      </rPr>
      <t xml:space="preserve">l </t>
    </r>
    <r>
      <rPr>
        <sz val="14"/>
        <color rgb="FF00B050"/>
        <rFont val="Calibri"/>
        <family val="2"/>
        <scheme val="minor"/>
      </rPr>
      <t>variances and include worktags where possible.</t>
    </r>
  </si>
  <si>
    <t>to</t>
  </si>
  <si>
    <t>Potential reasons</t>
  </si>
  <si>
    <t>$ Change</t>
  </si>
  <si>
    <t>Explanations</t>
  </si>
  <si>
    <t>Awards still pending</t>
  </si>
  <si>
    <t>Grants/Contracts placed on hold</t>
  </si>
  <si>
    <t>Unexpected donation activity</t>
  </si>
  <si>
    <t>Salary Moved to Grant/ Contract/Endowment</t>
  </si>
  <si>
    <t>Grant/Contract transferred (i.e. another department, instituion)</t>
  </si>
  <si>
    <t>Overall favorable/(unfavorable) award outlook</t>
  </si>
  <si>
    <t>Subcontracts activity</t>
  </si>
  <si>
    <t>$</t>
  </si>
  <si>
    <t>Operating Entity Shift</t>
  </si>
  <si>
    <t>Salary Moved to/from Grant/ Contract/  Endowment / Institutional Cost Centers, etc.</t>
  </si>
  <si>
    <r>
      <t>Operating Entity Shift ($$</t>
    </r>
    <r>
      <rPr>
        <b/>
        <sz val="11"/>
        <rFont val="Calibri"/>
        <family val="2"/>
        <scheme val="minor"/>
      </rPr>
      <t>$'s)</t>
    </r>
  </si>
  <si>
    <r>
      <t xml:space="preserve">Variance </t>
    </r>
    <r>
      <rPr>
        <b/>
        <sz val="11"/>
        <color rgb="FFC00000"/>
        <rFont val="Calibri"/>
        <family val="2"/>
        <scheme val="minor"/>
      </rPr>
      <t>[A]</t>
    </r>
  </si>
  <si>
    <r>
      <t xml:space="preserve">Total </t>
    </r>
    <r>
      <rPr>
        <sz val="11"/>
        <color theme="1"/>
        <rFont val="Calibri"/>
        <family val="2"/>
        <scheme val="minor"/>
      </rPr>
      <t>(should agree to net income variance above)</t>
    </r>
    <r>
      <rPr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[A]</t>
    </r>
  </si>
  <si>
    <r>
      <rPr>
        <b/>
        <sz val="11"/>
        <color rgb="FFC00000"/>
        <rFont val="Calibri"/>
        <family val="2"/>
        <scheme val="minor"/>
      </rPr>
      <t>[A]</t>
    </r>
    <r>
      <rPr>
        <sz val="11"/>
        <color theme="1"/>
        <rFont val="Calibri"/>
        <family val="2"/>
        <scheme val="minor"/>
      </rPr>
      <t xml:space="preserve">  1 Source:  Rollforward Template/RPT119</t>
    </r>
  </si>
  <si>
    <t>User Input Forecast Charges, Collections, wRVUs</t>
  </si>
  <si>
    <r>
      <t xml:space="preserve">Indirect Cost Recovery Variance (Account 6430 from RPT119 or A) </t>
    </r>
    <r>
      <rPr>
        <sz val="11"/>
        <color theme="1"/>
        <rFont val="Calibri"/>
        <family val="2"/>
        <scheme val="minor"/>
      </rPr>
      <t>Input $ value here ---&gt;</t>
    </r>
  </si>
  <si>
    <r>
      <t xml:space="preserve">EXPLANATIONS BY OPERATING ENTITY </t>
    </r>
    <r>
      <rPr>
        <b/>
        <u/>
        <sz val="11"/>
        <color rgb="FFC00000"/>
        <rFont val="Calibri"/>
        <family val="2"/>
        <scheme val="minor"/>
      </rPr>
      <t xml:space="preserve">FOR MATERIAL VARIANCES excluding </t>
    </r>
    <r>
      <rPr>
        <b/>
        <u/>
        <sz val="11"/>
        <color rgb="FF92D050"/>
        <rFont val="Calibri"/>
        <family val="2"/>
        <scheme val="minor"/>
      </rPr>
      <t>SWB</t>
    </r>
    <r>
      <rPr>
        <b/>
        <u/>
        <sz val="11"/>
        <color rgb="FFC00000"/>
        <rFont val="Calibri"/>
        <family val="2"/>
        <scheme val="minor"/>
      </rPr>
      <t xml:space="preserve">, </t>
    </r>
    <r>
      <rPr>
        <b/>
        <u/>
        <sz val="11"/>
        <color rgb="FF00B0F0"/>
        <rFont val="Calibri"/>
        <family val="2"/>
        <scheme val="minor"/>
      </rPr>
      <t>PB Revenue</t>
    </r>
    <r>
      <rPr>
        <b/>
        <u/>
        <sz val="11"/>
        <color rgb="FFC00000"/>
        <rFont val="Calibri"/>
        <family val="2"/>
        <scheme val="minor"/>
      </rPr>
      <t xml:space="preserve"> and </t>
    </r>
    <r>
      <rPr>
        <b/>
        <u/>
        <sz val="11"/>
        <color rgb="FF7030A0"/>
        <rFont val="Calibri"/>
        <family val="2"/>
        <scheme val="minor"/>
      </rPr>
      <t>Grants and Gifts</t>
    </r>
    <r>
      <rPr>
        <b/>
        <u/>
        <sz val="11"/>
        <color rgb="FFC00000"/>
        <rFont val="Calibri"/>
        <family val="2"/>
        <scheme val="minor"/>
      </rPr>
      <t xml:space="preserve"> (explanations on other tabs).</t>
    </r>
  </si>
  <si>
    <t>Please provide these explanations on the SWB Variance Input tab</t>
  </si>
  <si>
    <t>[B]</t>
  </si>
  <si>
    <t>Please provide these explanations on the Grants &amp; Gifts tab.</t>
  </si>
  <si>
    <t>Notes:</t>
  </si>
  <si>
    <t>Financial Partnership Model</t>
  </si>
  <si>
    <t>[User Input, if needed]</t>
  </si>
  <si>
    <t xml:space="preserve">Columns labeled as "Calculation" are fed by the "SWB Variance Input" tab or driven by a formula.    </t>
  </si>
  <si>
    <t>Check Figure
S/B $0</t>
  </si>
  <si>
    <r>
      <rPr>
        <b/>
        <u/>
        <sz val="11"/>
        <rFont val="Calibri"/>
        <family val="2"/>
        <scheme val="minor"/>
      </rPr>
      <t>Favorable (Unfavorable)</t>
    </r>
    <r>
      <rPr>
        <b/>
        <sz val="11"/>
        <color rgb="FFC00000"/>
        <rFont val="Calibri"/>
        <family val="2"/>
        <scheme val="minor"/>
      </rPr>
      <t xml:space="preserve"> Variances (section) from RPT119 or RPT119A
</t>
    </r>
    <r>
      <rPr>
        <b/>
        <u/>
        <sz val="11"/>
        <color rgb="FFC00000"/>
        <rFont val="Calibri"/>
        <family val="2"/>
        <scheme val="minor"/>
      </rPr>
      <t>Sum of the FY25 Budget and Variances = Q2 FCST</t>
    </r>
  </si>
  <si>
    <r>
      <t xml:space="preserve">Please note:  The </t>
    </r>
    <r>
      <rPr>
        <b/>
        <u/>
        <sz val="12"/>
        <color theme="1"/>
        <rFont val="Calibri"/>
        <family val="2"/>
        <scheme val="minor"/>
      </rPr>
      <t>variances</t>
    </r>
    <r>
      <rPr>
        <b/>
        <sz val="12"/>
        <color theme="1"/>
        <rFont val="Calibri"/>
        <family val="2"/>
        <scheme val="minor"/>
      </rPr>
      <t xml:space="preserve"> on the RPT119 and 119A report are in a Favorable/(Unfavorable) format.  For example, if your salaries decreased by $5,000 that is a favorable (positive # sign) variance and where your results will yield a lower number than budgeted, i.e., FY25 Budget is $50,000, Q2 Forecast is $45,000, and your favorable variance is $5,000.</t>
    </r>
  </si>
  <si>
    <t>Revenue/ Expense
From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</si>
</sst>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* #,##0.0_);_(* \(#,##0.0\);_(* &quot;-&quot;??_);_(@_)"/>
    <numFmt numFmtId="166" formatCode="_(&quot;$&quot;* #,##0_);_(&quot;$&quot;* \(#,##0\);_(&quot;$&quot;* &quot;-&quot;??_);_(@_)"/>
    <numFmt numFmtId="167" formatCode="#,##0.0%_);[Red]\(#,##0.0%\)"/>
    <numFmt numFmtId="168" formatCode="0.0%"/>
    <numFmt numFmtId="169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rgb="FF92D050"/>
      <name val="Calibri"/>
      <family val="2"/>
      <scheme val="minor"/>
    </font>
    <font>
      <b/>
      <u/>
      <sz val="11"/>
      <color rgb="FF00B0F0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name val="Arial"/>
    </font>
    <font>
      <b/>
      <u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/>
  </cellStyleXfs>
  <cellXfs count="235">
    <xf numFmtId="0" fontId="0" fillId="0" borderId="0" xfId="0"/>
    <xf numFmtId="0" fontId="0" fillId="0" borderId="0" xfId="0" applyAlignment="1">
      <alignment horizontal="left" indent="1"/>
    </xf>
    <xf numFmtId="165" fontId="0" fillId="0" borderId="1" xfId="1" applyNumberFormat="1" applyFont="1" applyBorder="1"/>
    <xf numFmtId="0" fontId="0" fillId="0" borderId="0" xfId="0" applyAlignment="1">
      <alignment horizontal="left" indent="2"/>
    </xf>
    <xf numFmtId="0" fontId="0" fillId="0" borderId="6" xfId="0" applyBorder="1"/>
    <xf numFmtId="0" fontId="0" fillId="0" borderId="7" xfId="0" applyBorder="1"/>
    <xf numFmtId="44" fontId="0" fillId="0" borderId="6" xfId="2" applyFont="1" applyBorder="1"/>
    <xf numFmtId="44" fontId="0" fillId="0" borderId="0" xfId="2" applyFont="1" applyBorder="1"/>
    <xf numFmtId="44" fontId="0" fillId="0" borderId="7" xfId="2" applyFont="1" applyBorder="1"/>
    <xf numFmtId="165" fontId="0" fillId="0" borderId="6" xfId="1" applyNumberFormat="1" applyFont="1" applyBorder="1"/>
    <xf numFmtId="165" fontId="0" fillId="0" borderId="0" xfId="1" applyNumberFormat="1" applyFont="1" applyBorder="1"/>
    <xf numFmtId="165" fontId="0" fillId="0" borderId="8" xfId="1" applyNumberFormat="1" applyFont="1" applyBorder="1"/>
    <xf numFmtId="165" fontId="0" fillId="0" borderId="6" xfId="0" applyNumberFormat="1" applyBorder="1"/>
    <xf numFmtId="165" fontId="0" fillId="0" borderId="0" xfId="0" applyNumberFormat="1"/>
    <xf numFmtId="165" fontId="0" fillId="0" borderId="7" xfId="0" applyNumberFormat="1" applyBorder="1"/>
    <xf numFmtId="0" fontId="2" fillId="0" borderId="2" xfId="0" applyFont="1" applyBorder="1" applyAlignment="1">
      <alignment horizontal="center" wrapText="1"/>
    </xf>
    <xf numFmtId="0" fontId="0" fillId="0" borderId="10" xfId="0" applyBorder="1"/>
    <xf numFmtId="165" fontId="0" fillId="0" borderId="11" xfId="1" applyNumberFormat="1" applyFont="1" applyBorder="1"/>
    <xf numFmtId="164" fontId="0" fillId="0" borderId="10" xfId="2" applyNumberFormat="1" applyFont="1" applyBorder="1"/>
    <xf numFmtId="165" fontId="0" fillId="0" borderId="10" xfId="1" applyNumberFormat="1" applyFont="1" applyBorder="1"/>
    <xf numFmtId="165" fontId="0" fillId="0" borderId="10" xfId="0" applyNumberFormat="1" applyBorder="1"/>
    <xf numFmtId="0" fontId="2" fillId="0" borderId="2" xfId="0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left" indent="1"/>
    </xf>
    <xf numFmtId="0" fontId="2" fillId="0" borderId="0" xfId="0" applyFont="1" applyAlignment="1">
      <alignment horizontal="left" indent="1"/>
    </xf>
    <xf numFmtId="164" fontId="2" fillId="0" borderId="10" xfId="2" applyNumberFormat="1" applyFont="1" applyBorder="1"/>
    <xf numFmtId="0" fontId="2" fillId="0" borderId="0" xfId="0" applyFont="1"/>
    <xf numFmtId="164" fontId="2" fillId="0" borderId="0" xfId="2" applyNumberFormat="1" applyFont="1" applyBorder="1"/>
    <xf numFmtId="165" fontId="2" fillId="0" borderId="10" xfId="0" applyNumberFormat="1" applyFont="1" applyBorder="1"/>
    <xf numFmtId="165" fontId="2" fillId="0" borderId="6" xfId="0" applyNumberFormat="1" applyFont="1" applyBorder="1"/>
    <xf numFmtId="165" fontId="2" fillId="0" borderId="0" xfId="0" applyNumberFormat="1" applyFont="1"/>
    <xf numFmtId="165" fontId="2" fillId="0" borderId="7" xfId="0" applyNumberFormat="1" applyFont="1" applyBorder="1"/>
    <xf numFmtId="164" fontId="3" fillId="0" borderId="11" xfId="2" applyNumberFormat="1" applyFont="1" applyBorder="1"/>
    <xf numFmtId="164" fontId="2" fillId="0" borderId="0" xfId="2" applyNumberFormat="1" applyFont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indent="1"/>
    </xf>
    <xf numFmtId="0" fontId="2" fillId="0" borderId="4" xfId="0" applyFont="1" applyBorder="1" applyAlignment="1">
      <alignment horizontal="center" vertical="center"/>
    </xf>
    <xf numFmtId="0" fontId="2" fillId="4" borderId="0" xfId="0" applyFont="1" applyFill="1" applyAlignment="1">
      <alignment horizontal="left" indent="1"/>
    </xf>
    <xf numFmtId="0" fontId="5" fillId="0" borderId="0" xfId="0" applyFont="1"/>
    <xf numFmtId="165" fontId="0" fillId="0" borderId="6" xfId="1" applyNumberFormat="1" applyFont="1" applyFill="1" applyBorder="1"/>
    <xf numFmtId="165" fontId="0" fillId="0" borderId="0" xfId="1" applyNumberFormat="1" applyFont="1" applyFill="1" applyBorder="1"/>
    <xf numFmtId="165" fontId="0" fillId="0" borderId="1" xfId="1" applyNumberFormat="1" applyFont="1" applyFill="1" applyBorder="1"/>
    <xf numFmtId="165" fontId="0" fillId="0" borderId="9" xfId="1" applyNumberFormat="1" applyFont="1" applyFill="1" applyBorder="1"/>
    <xf numFmtId="164" fontId="2" fillId="0" borderId="0" xfId="2" applyNumberFormat="1" applyFont="1" applyFill="1" applyBorder="1"/>
    <xf numFmtId="164" fontId="2" fillId="0" borderId="7" xfId="2" applyNumberFormat="1" applyFont="1" applyFill="1" applyBorder="1"/>
    <xf numFmtId="165" fontId="0" fillId="0" borderId="7" xfId="1" applyNumberFormat="1" applyFont="1" applyFill="1" applyBorder="1"/>
    <xf numFmtId="0" fontId="6" fillId="0" borderId="0" xfId="0" applyFont="1"/>
    <xf numFmtId="164" fontId="3" fillId="0" borderId="0" xfId="2" applyNumberFormat="1" applyFont="1" applyBorder="1"/>
    <xf numFmtId="164" fontId="4" fillId="0" borderId="0" xfId="2" applyNumberFormat="1" applyFont="1" applyBorder="1"/>
    <xf numFmtId="164" fontId="7" fillId="0" borderId="0" xfId="2" applyNumberFormat="1" applyFont="1" applyBorder="1" applyAlignment="1">
      <alignment horizontal="center"/>
    </xf>
    <xf numFmtId="164" fontId="7" fillId="0" borderId="0" xfId="2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6" fontId="0" fillId="6" borderId="0" xfId="2" applyNumberFormat="1" applyFont="1" applyFill="1" applyBorder="1" applyAlignment="1">
      <alignment horizontal="center"/>
    </xf>
    <xf numFmtId="166" fontId="0" fillId="2" borderId="0" xfId="2" applyNumberFormat="1" applyFont="1" applyFill="1" applyBorder="1" applyAlignment="1">
      <alignment horizontal="center"/>
    </xf>
    <xf numFmtId="0" fontId="0" fillId="0" borderId="2" xfId="0" applyBorder="1"/>
    <xf numFmtId="0" fontId="0" fillId="6" borderId="0" xfId="0" applyFill="1"/>
    <xf numFmtId="0" fontId="0" fillId="2" borderId="0" xfId="0" applyFill="1"/>
    <xf numFmtId="0" fontId="0" fillId="0" borderId="0" xfId="0" applyAlignment="1">
      <alignment horizontal="right" vertical="top"/>
    </xf>
    <xf numFmtId="166" fontId="0" fillId="7" borderId="10" xfId="2" applyNumberFormat="1" applyFont="1" applyFill="1" applyBorder="1"/>
    <xf numFmtId="44" fontId="0" fillId="0" borderId="10" xfId="2" applyFont="1" applyBorder="1"/>
    <xf numFmtId="168" fontId="0" fillId="0" borderId="10" xfId="3" applyNumberFormat="1" applyFont="1" applyBorder="1"/>
    <xf numFmtId="0" fontId="2" fillId="0" borderId="4" xfId="0" applyFont="1" applyBorder="1"/>
    <xf numFmtId="166" fontId="2" fillId="0" borderId="2" xfId="2" applyNumberFormat="1" applyFont="1" applyBorder="1"/>
    <xf numFmtId="169" fontId="2" fillId="0" borderId="2" xfId="1" applyNumberFormat="1" applyFont="1" applyBorder="1"/>
    <xf numFmtId="44" fontId="2" fillId="0" borderId="2" xfId="2" applyFont="1" applyBorder="1"/>
    <xf numFmtId="168" fontId="2" fillId="0" borderId="2" xfId="3" applyNumberFormat="1" applyFont="1" applyBorder="1"/>
    <xf numFmtId="0" fontId="2" fillId="0" borderId="0" xfId="0" applyFont="1" applyAlignment="1">
      <alignment horizontal="right" vertical="top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3" borderId="10" xfId="0" applyFill="1" applyBorder="1"/>
    <xf numFmtId="164" fontId="0" fillId="3" borderId="10" xfId="2" applyNumberFormat="1" applyFont="1" applyFill="1" applyBorder="1"/>
    <xf numFmtId="165" fontId="0" fillId="3" borderId="10" xfId="1" applyNumberFormat="1" applyFont="1" applyFill="1" applyBorder="1"/>
    <xf numFmtId="165" fontId="0" fillId="3" borderId="11" xfId="1" applyNumberFormat="1" applyFont="1" applyFill="1" applyBorder="1"/>
    <xf numFmtId="164" fontId="2" fillId="3" borderId="10" xfId="2" applyNumberFormat="1" applyFont="1" applyFill="1" applyBorder="1"/>
    <xf numFmtId="165" fontId="2" fillId="3" borderId="10" xfId="0" applyNumberFormat="1" applyFont="1" applyFill="1" applyBorder="1"/>
    <xf numFmtId="165" fontId="0" fillId="3" borderId="10" xfId="0" applyNumberFormat="1" applyFill="1" applyBorder="1"/>
    <xf numFmtId="164" fontId="3" fillId="3" borderId="11" xfId="2" applyNumberFormat="1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3" fillId="0" borderId="11" xfId="2" applyNumberFormat="1" applyFont="1" applyFill="1" applyBorder="1"/>
    <xf numFmtId="164" fontId="2" fillId="0" borderId="0" xfId="2" applyNumberFormat="1" applyFont="1" applyFill="1"/>
    <xf numFmtId="164" fontId="3" fillId="0" borderId="8" xfId="2" applyNumberFormat="1" applyFont="1" applyFill="1" applyBorder="1"/>
    <xf numFmtId="164" fontId="3" fillId="0" borderId="1" xfId="2" applyNumberFormat="1" applyFont="1" applyFill="1" applyBorder="1"/>
    <xf numFmtId="164" fontId="3" fillId="0" borderId="9" xfId="2" applyNumberFormat="1" applyFont="1" applyFill="1" applyBorder="1"/>
    <xf numFmtId="0" fontId="2" fillId="4" borderId="0" xfId="0" applyFont="1" applyFill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14" fillId="0" borderId="4" xfId="0" applyFont="1" applyBorder="1"/>
    <xf numFmtId="0" fontId="14" fillId="0" borderId="5" xfId="0" applyFont="1" applyBorder="1"/>
    <xf numFmtId="0" fontId="0" fillId="0" borderId="0" xfId="0" applyAlignment="1">
      <alignment horizontal="center"/>
    </xf>
    <xf numFmtId="166" fontId="2" fillId="0" borderId="0" xfId="2" applyNumberFormat="1" applyFont="1" applyBorder="1"/>
    <xf numFmtId="169" fontId="2" fillId="0" borderId="0" xfId="1" applyNumberFormat="1" applyFont="1" applyBorder="1"/>
    <xf numFmtId="44" fontId="2" fillId="0" borderId="0" xfId="2" applyFont="1" applyBorder="1"/>
    <xf numFmtId="168" fontId="2" fillId="0" borderId="0" xfId="3" applyNumberFormat="1" applyFont="1" applyBorder="1"/>
    <xf numFmtId="44" fontId="0" fillId="0" borderId="0" xfId="2" applyFont="1"/>
    <xf numFmtId="0" fontId="0" fillId="9" borderId="0" xfId="0" applyFill="1" applyAlignment="1">
      <alignment horizontal="center"/>
    </xf>
    <xf numFmtId="44" fontId="0" fillId="2" borderId="0" xfId="2" applyFont="1" applyFill="1" applyAlignment="1">
      <alignment horizontal="center"/>
    </xf>
    <xf numFmtId="0" fontId="0" fillId="2" borderId="0" xfId="0" applyFill="1" applyAlignment="1">
      <alignment horizontal="center"/>
    </xf>
    <xf numFmtId="0" fontId="15" fillId="0" borderId="0" xfId="0" applyFont="1"/>
    <xf numFmtId="0" fontId="16" fillId="0" borderId="0" xfId="0" applyFont="1"/>
    <xf numFmtId="0" fontId="17" fillId="9" borderId="0" xfId="0" applyFont="1" applyFill="1" applyAlignment="1">
      <alignment horizontal="center"/>
    </xf>
    <xf numFmtId="0" fontId="0" fillId="0" borderId="3" xfId="0" applyBorder="1" applyAlignment="1">
      <alignment horizontal="left" vertical="top"/>
    </xf>
    <xf numFmtId="0" fontId="0" fillId="0" borderId="3" xfId="0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44" fontId="18" fillId="0" borderId="1" xfId="2" applyFont="1" applyBorder="1" applyAlignment="1">
      <alignment horizontal="center"/>
    </xf>
    <xf numFmtId="0" fontId="19" fillId="0" borderId="0" xfId="0" applyFont="1" applyAlignment="1">
      <alignment horizontal="center"/>
    </xf>
    <xf numFmtId="44" fontId="19" fillId="0" borderId="0" xfId="2" applyFont="1" applyAlignment="1">
      <alignment horizontal="center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center"/>
    </xf>
    <xf numFmtId="0" fontId="21" fillId="0" borderId="2" xfId="0" applyFont="1" applyBorder="1"/>
    <xf numFmtId="0" fontId="23" fillId="0" borderId="0" xfId="0" applyFont="1"/>
    <xf numFmtId="0" fontId="18" fillId="2" borderId="0" xfId="0" applyFont="1" applyFill="1"/>
    <xf numFmtId="0" fontId="21" fillId="0" borderId="4" xfId="0" applyFont="1" applyBorder="1"/>
    <xf numFmtId="0" fontId="2" fillId="5" borderId="2" xfId="0" applyFont="1" applyFill="1" applyBorder="1" applyAlignment="1">
      <alignment horizontal="center"/>
    </xf>
    <xf numFmtId="44" fontId="0" fillId="0" borderId="2" xfId="2" applyFont="1" applyBorder="1"/>
    <xf numFmtId="0" fontId="0" fillId="0" borderId="3" xfId="0" applyBorder="1" applyAlignment="1">
      <alignment horizontal="left" vertical="top" wrapText="1" indent="1"/>
    </xf>
    <xf numFmtId="0" fontId="2" fillId="5" borderId="3" xfId="0" applyFont="1" applyFill="1" applyBorder="1"/>
    <xf numFmtId="0" fontId="0" fillId="5" borderId="4" xfId="0" applyFill="1" applyBorder="1"/>
    <xf numFmtId="0" fontId="2" fillId="2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2" fillId="0" borderId="15" xfId="0" applyFont="1" applyBorder="1"/>
    <xf numFmtId="44" fontId="0" fillId="0" borderId="2" xfId="2" applyFon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0" fontId="2" fillId="0" borderId="27" xfId="0" applyFont="1" applyBorder="1" applyAlignment="1">
      <alignment horizontal="left" indent="1"/>
    </xf>
    <xf numFmtId="164" fontId="14" fillId="0" borderId="19" xfId="2" applyNumberFormat="1" applyFont="1" applyBorder="1"/>
    <xf numFmtId="165" fontId="14" fillId="0" borderId="9" xfId="1" applyNumberFormat="1" applyFont="1" applyBorder="1"/>
    <xf numFmtId="44" fontId="4" fillId="0" borderId="28" xfId="2" applyFont="1" applyBorder="1"/>
    <xf numFmtId="0" fontId="14" fillId="0" borderId="2" xfId="0" applyFont="1" applyBorder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0" fontId="24" fillId="0" borderId="0" xfId="0" applyFont="1"/>
    <xf numFmtId="0" fontId="24" fillId="0" borderId="2" xfId="0" applyFont="1" applyBorder="1" applyAlignment="1">
      <alignment horizontal="center"/>
    </xf>
    <xf numFmtId="0" fontId="24" fillId="0" borderId="16" xfId="0" applyFont="1" applyBorder="1"/>
    <xf numFmtId="0" fontId="2" fillId="0" borderId="3" xfId="0" applyFont="1" applyBorder="1" applyAlignment="1">
      <alignment horizontal="center" wrapText="1"/>
    </xf>
    <xf numFmtId="10" fontId="2" fillId="0" borderId="4" xfId="0" applyNumberFormat="1" applyFont="1" applyBorder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167" fontId="0" fillId="0" borderId="0" xfId="3" applyNumberFormat="1" applyFont="1" applyBorder="1" applyAlignment="1">
      <alignment horizontal="center"/>
    </xf>
    <xf numFmtId="167" fontId="0" fillId="0" borderId="1" xfId="3" applyNumberFormat="1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166" fontId="0" fillId="0" borderId="6" xfId="2" applyNumberFormat="1" applyFont="1" applyFill="1" applyBorder="1" applyAlignment="1">
      <alignment horizontal="center"/>
    </xf>
    <xf numFmtId="166" fontId="0" fillId="0" borderId="8" xfId="2" applyNumberFormat="1" applyFont="1" applyFill="1" applyBorder="1" applyAlignment="1">
      <alignment horizontal="center"/>
    </xf>
    <xf numFmtId="166" fontId="0" fillId="0" borderId="1" xfId="2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4" fillId="0" borderId="0" xfId="0" applyFont="1" applyAlignment="1">
      <alignment horizontal="center"/>
    </xf>
    <xf numFmtId="169" fontId="0" fillId="0" borderId="0" xfId="1" applyNumberFormat="1" applyFont="1" applyFill="1" applyBorder="1"/>
    <xf numFmtId="0" fontId="14" fillId="0" borderId="18" xfId="0" applyFont="1" applyBorder="1" applyAlignment="1">
      <alignment horizontal="center"/>
    </xf>
    <xf numFmtId="164" fontId="2" fillId="0" borderId="18" xfId="2" applyNumberFormat="1" applyFont="1" applyBorder="1"/>
    <xf numFmtId="166" fontId="0" fillId="0" borderId="7" xfId="2" applyNumberFormat="1" applyFont="1" applyFill="1" applyBorder="1" applyAlignment="1">
      <alignment horizontal="center"/>
    </xf>
    <xf numFmtId="166" fontId="0" fillId="0" borderId="7" xfId="2" applyNumberFormat="1" applyFont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166" fontId="0" fillId="2" borderId="1" xfId="2" applyNumberFormat="1" applyFont="1" applyFill="1" applyBorder="1" applyAlignment="1">
      <alignment horizontal="center"/>
    </xf>
    <xf numFmtId="166" fontId="0" fillId="0" borderId="9" xfId="2" applyNumberFormat="1" applyFont="1" applyFill="1" applyBorder="1" applyAlignment="1">
      <alignment horizontal="center"/>
    </xf>
    <xf numFmtId="166" fontId="0" fillId="0" borderId="9" xfId="2" applyNumberFormat="1" applyFont="1" applyBorder="1" applyAlignment="1">
      <alignment horizontal="center"/>
    </xf>
    <xf numFmtId="169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0" borderId="3" xfId="0" applyFont="1" applyBorder="1"/>
    <xf numFmtId="0" fontId="2" fillId="8" borderId="2" xfId="0" applyFont="1" applyFill="1" applyBorder="1" applyAlignment="1">
      <alignment horizontal="center" wrapText="1"/>
    </xf>
    <xf numFmtId="164" fontId="29" fillId="0" borderId="0" xfId="2" applyNumberFormat="1" applyFont="1" applyBorder="1" applyAlignment="1">
      <alignment horizontal="center"/>
    </xf>
    <xf numFmtId="164" fontId="29" fillId="0" borderId="0" xfId="2" applyNumberFormat="1" applyFont="1" applyBorder="1" applyAlignment="1">
      <alignment horizontal="right"/>
    </xf>
    <xf numFmtId="165" fontId="0" fillId="0" borderId="2" xfId="1" applyNumberFormat="1" applyFont="1" applyBorder="1"/>
    <xf numFmtId="169" fontId="0" fillId="0" borderId="2" xfId="1" applyNumberFormat="1" applyFont="1" applyBorder="1" applyAlignment="1">
      <alignment horizontal="left" vertical="top"/>
    </xf>
    <xf numFmtId="44" fontId="4" fillId="0" borderId="11" xfId="2" applyFont="1" applyBorder="1"/>
    <xf numFmtId="164" fontId="14" fillId="0" borderId="16" xfId="2" applyNumberFormat="1" applyFont="1" applyBorder="1"/>
    <xf numFmtId="165" fontId="14" fillId="0" borderId="11" xfId="1" applyNumberFormat="1" applyFont="1" applyBorder="1"/>
    <xf numFmtId="0" fontId="2" fillId="6" borderId="18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11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8" fillId="0" borderId="18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0" borderId="18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169" fontId="0" fillId="0" borderId="4" xfId="1" applyNumberFormat="1" applyFont="1" applyBorder="1" applyAlignment="1">
      <alignment horizontal="right" vertical="top"/>
    </xf>
  </cellXfs>
  <cellStyles count="5">
    <cellStyle name="Comma" xfId="1" builtinId="3"/>
    <cellStyle name="Currency" xfId="2" builtinId="4"/>
    <cellStyle name="Normal" xfId="0" builtinId="0"/>
    <cellStyle name="Normal 2" xfId="4" xr:uid="{074884F6-35FE-46DA-BDB4-B03F34E544D2}"/>
    <cellStyle name="Percent 2" xfId="3" xr:uid="{11F2308E-75D8-4364-B3DF-0E36688B08D6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590552</xdr:colOff>
      <xdr:row>7</xdr:row>
      <xdr:rowOff>209549</xdr:rowOff>
    </xdr:from>
    <xdr:to>
      <xdr:col>0</xdr:col>
      <xdr:colOff>758586</xdr:colOff>
      <xdr:row>9</xdr:row>
      <xdr:rowOff>47625</xdr:rowOff>
    </xdr:to>
    <xdr:pic>
      <xdr:nvPicPr>
        <xdr:cNvPr id="61" name="Picture 3">
          <a:extLst>
            <a:ext uri="{FF2B5EF4-FFF2-40B4-BE49-F238E27FC236}">
              <a16:creationId xmlns:a16="http://schemas.microsoft.com/office/drawing/2014/main" id="{3C7395B8-CD4E-270A-74CB-20E8AEB3CAD7}"/>
            </a:ext>
            <a:ext uri="{147F2762-F138-4A5C-976F-8EAC2B608ADB}">
              <a16:predDERef xmlns:a16="http://schemas.microsoft.com/office/drawing/2014/main" pred="{94D34047-E0BC-52E4-A14E-03B6C3834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2" y="1552574"/>
          <a:ext cx="168034" cy="276226"/>
        </a:xfrm>
        <a:prstGeom prst="rect">
          <a:avLst/>
        </a:prstGeom>
      </xdr:spPr>
    </xdr:pic>
    <xdr:clientData/>
  </xdr:twoCellAnchor>
  <xdr:twoCellAnchor editAs="oneCell">
    <xdr:from>
      <xdr:col>1</xdr:col>
      <xdr:colOff>950594</xdr:colOff>
      <xdr:row>7</xdr:row>
      <xdr:rowOff>198120</xdr:rowOff>
    </xdr:from>
    <xdr:to>
      <xdr:col>1</xdr:col>
      <xdr:colOff>1144904</xdr:colOff>
      <xdr:row>9</xdr:row>
      <xdr:rowOff>15240</xdr:rowOff>
    </xdr:to>
    <xdr:pic>
      <xdr:nvPicPr>
        <xdr:cNvPr id="62" name="Picture 8">
          <a:extLst>
            <a:ext uri="{FF2B5EF4-FFF2-40B4-BE49-F238E27FC236}">
              <a16:creationId xmlns:a16="http://schemas.microsoft.com/office/drawing/2014/main" id="{D5F80300-F71D-4FEC-84B2-F50DD95BEFF6}"/>
            </a:ext>
            <a:ext uri="{147F2762-F138-4A5C-976F-8EAC2B608ADB}">
              <a16:predDERef xmlns:a16="http://schemas.microsoft.com/office/drawing/2014/main" pred="{4FF9632F-A812-4B41-BBC3-28113175D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0769" y="1541145"/>
          <a:ext cx="194310" cy="255270"/>
        </a:xfrm>
        <a:prstGeom prst="rect">
          <a:avLst/>
        </a:prstGeom>
      </xdr:spPr>
    </xdr:pic>
    <xdr:clientData/>
  </xdr:twoCellAnchor>
  <xdr:twoCellAnchor editAs="oneCell">
    <xdr:from>
      <xdr:col>2</xdr:col>
      <xdr:colOff>508634</xdr:colOff>
      <xdr:row>7</xdr:row>
      <xdr:rowOff>207135</xdr:rowOff>
    </xdr:from>
    <xdr:to>
      <xdr:col>2</xdr:col>
      <xdr:colOff>695325</xdr:colOff>
      <xdr:row>9</xdr:row>
      <xdr:rowOff>28574</xdr:rowOff>
    </xdr:to>
    <xdr:pic>
      <xdr:nvPicPr>
        <xdr:cNvPr id="70" name="Picture 10">
          <a:extLst>
            <a:ext uri="{FF2B5EF4-FFF2-40B4-BE49-F238E27FC236}">
              <a16:creationId xmlns:a16="http://schemas.microsoft.com/office/drawing/2014/main" id="{F261A40C-F43C-48E6-8FCC-C44F0FFCED45}"/>
            </a:ext>
            <a:ext uri="{147F2762-F138-4A5C-976F-8EAC2B608ADB}">
              <a16:predDERef xmlns:a16="http://schemas.microsoft.com/office/drawing/2014/main" pred="{D5F80300-F71D-4FEC-84B2-F50DD95BE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1934" y="1550160"/>
          <a:ext cx="186691" cy="259589"/>
        </a:xfrm>
        <a:prstGeom prst="rect">
          <a:avLst/>
        </a:prstGeom>
      </xdr:spPr>
    </xdr:pic>
    <xdr:clientData/>
  </xdr:twoCellAnchor>
  <xdr:twoCellAnchor editAs="oneCell">
    <xdr:from>
      <xdr:col>4</xdr:col>
      <xdr:colOff>533544</xdr:colOff>
      <xdr:row>7</xdr:row>
      <xdr:rowOff>205297</xdr:rowOff>
    </xdr:from>
    <xdr:to>
      <xdr:col>4</xdr:col>
      <xdr:colOff>685800</xdr:colOff>
      <xdr:row>9</xdr:row>
      <xdr:rowOff>24764</xdr:rowOff>
    </xdr:to>
    <xdr:pic>
      <xdr:nvPicPr>
        <xdr:cNvPr id="71" name="Picture 11">
          <a:extLst>
            <a:ext uri="{FF2B5EF4-FFF2-40B4-BE49-F238E27FC236}">
              <a16:creationId xmlns:a16="http://schemas.microsoft.com/office/drawing/2014/main" id="{3BF2D668-BB42-45F9-AF30-3C27C96ADDA1}"/>
            </a:ext>
            <a:ext uri="{147F2762-F138-4A5C-976F-8EAC2B608ADB}">
              <a16:predDERef xmlns:a16="http://schemas.microsoft.com/office/drawing/2014/main" pred="{F261A40C-F43C-48E6-8FCC-C44F0FFC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594" y="1548322"/>
          <a:ext cx="152256" cy="257617"/>
        </a:xfrm>
        <a:prstGeom prst="rect">
          <a:avLst/>
        </a:prstGeom>
      </xdr:spPr>
    </xdr:pic>
    <xdr:clientData/>
  </xdr:twoCellAnchor>
  <xdr:twoCellAnchor editAs="oneCell">
    <xdr:from>
      <xdr:col>6</xdr:col>
      <xdr:colOff>1196340</xdr:colOff>
      <xdr:row>7</xdr:row>
      <xdr:rowOff>198120</xdr:rowOff>
    </xdr:from>
    <xdr:to>
      <xdr:col>6</xdr:col>
      <xdr:colOff>1363981</xdr:colOff>
      <xdr:row>9</xdr:row>
      <xdr:rowOff>43815</xdr:rowOff>
    </xdr:to>
    <xdr:pic>
      <xdr:nvPicPr>
        <xdr:cNvPr id="68" name="Picture 12">
          <a:extLst>
            <a:ext uri="{FF2B5EF4-FFF2-40B4-BE49-F238E27FC236}">
              <a16:creationId xmlns:a16="http://schemas.microsoft.com/office/drawing/2014/main" id="{A064B327-6DA5-4D78-A807-92835ADA292A}"/>
            </a:ext>
            <a:ext uri="{147F2762-F138-4A5C-976F-8EAC2B608ADB}">
              <a16:predDERef xmlns:a16="http://schemas.microsoft.com/office/drawing/2014/main" pred="{3BF2D668-BB42-45F9-AF30-3C27C96AD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2690" y="1541145"/>
          <a:ext cx="167641" cy="2838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47624</xdr:colOff>
      <xdr:row>3</xdr:row>
      <xdr:rowOff>219075</xdr:rowOff>
    </xdr:from>
    <xdr:to>
      <xdr:col>20</xdr:col>
      <xdr:colOff>209159</xdr:colOff>
      <xdr:row>6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7CF1D85-A933-2DB6-0A17-D192C4535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6999" y="762000"/>
          <a:ext cx="5651110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10</xdr:row>
      <xdr:rowOff>152400</xdr:rowOff>
    </xdr:from>
    <xdr:to>
      <xdr:col>31</xdr:col>
      <xdr:colOff>112774</xdr:colOff>
      <xdr:row>12</xdr:row>
      <xdr:rowOff>152352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3AF23C-928D-75BD-61A8-8A7D5E3CE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44100" y="2438400"/>
          <a:ext cx="12209524" cy="380952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21B44-B7D4-4EC6-B5FA-9B01AC57826A}">
  <dimension ref="A1:AC61"/>
  <sheetViews>
    <sheetView showGridLines="0" tabSelected="1" zoomScale="110" zoomScaleNormal="110" workbookViewId="0">
      <selection activeCell="I9" sqref="I9"/>
    </sheetView>
  </sheetViews>
  <sheetFormatPr defaultRowHeight="14.4" x14ac:dyDescent="0.3"/>
  <cols>
    <col min="1" max="1" width="4" customWidth="1"/>
    <col min="2" max="2" width="31.44140625" bestFit="1" customWidth="1"/>
    <col min="3" max="3" width="2" customWidth="1"/>
    <col min="4" max="4" width="15.21875" bestFit="1" customWidth="1"/>
    <col min="5" max="5" width="2" customWidth="1"/>
    <col min="6" max="6" width="10.21875" bestFit="1" customWidth="1"/>
    <col min="7" max="7" width="2" customWidth="1"/>
    <col min="8" max="8" width="12.44140625" customWidth="1"/>
    <col min="9" max="12" width="10.77734375" customWidth="1"/>
    <col min="13" max="13" width="2" customWidth="1"/>
    <col min="14" max="14" width="10.21875" bestFit="1" customWidth="1"/>
    <col min="15" max="15" width="2" customWidth="1"/>
    <col min="16" max="16" width="11.44140625" hidden="1" customWidth="1"/>
    <col min="17" max="17" width="2" customWidth="1"/>
    <col min="29" max="29" width="6.5546875" customWidth="1"/>
  </cols>
  <sheetData>
    <row r="1" spans="1:29" ht="21" x14ac:dyDescent="0.4">
      <c r="B1" s="46" t="s">
        <v>0</v>
      </c>
    </row>
    <row r="2" spans="1:29" ht="12" customHeight="1" x14ac:dyDescent="0.4">
      <c r="B2" s="46"/>
    </row>
    <row r="3" spans="1:29" ht="24.75" customHeight="1" x14ac:dyDescent="0.3">
      <c r="B3" s="197" t="s">
        <v>308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/>
    </row>
    <row r="4" spans="1:29" ht="24.45" customHeight="1" x14ac:dyDescent="0.3">
      <c r="B4" s="200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2"/>
    </row>
    <row r="5" spans="1:29" ht="14.55" customHeight="1" thickBot="1" x14ac:dyDescent="0.45">
      <c r="B5" s="46"/>
    </row>
    <row r="6" spans="1:29" ht="36" customHeight="1" thickBot="1" x14ac:dyDescent="0.45">
      <c r="B6" s="46"/>
      <c r="F6" s="206" t="s">
        <v>307</v>
      </c>
      <c r="G6" s="207"/>
      <c r="H6" s="207"/>
      <c r="I6" s="207"/>
      <c r="J6" s="207"/>
      <c r="K6" s="207"/>
      <c r="L6" s="208"/>
      <c r="P6" s="195" t="s">
        <v>1</v>
      </c>
    </row>
    <row r="7" spans="1:29" ht="14.25" customHeight="1" x14ac:dyDescent="0.4">
      <c r="B7" s="46"/>
      <c r="F7" s="91"/>
      <c r="G7" s="92"/>
      <c r="H7" s="92"/>
      <c r="I7" s="92"/>
      <c r="J7" s="92"/>
      <c r="K7" s="92"/>
      <c r="L7" s="92"/>
      <c r="P7" s="195"/>
    </row>
    <row r="8" spans="1:29" ht="21" x14ac:dyDescent="0.4">
      <c r="B8" s="46"/>
      <c r="D8" s="94" t="s">
        <v>2</v>
      </c>
      <c r="E8" s="93"/>
      <c r="F8" s="94" t="s">
        <v>2</v>
      </c>
      <c r="G8" s="93"/>
      <c r="H8" s="94" t="s">
        <v>2</v>
      </c>
      <c r="I8" s="94" t="s">
        <v>2</v>
      </c>
      <c r="J8" s="94" t="s">
        <v>2</v>
      </c>
      <c r="K8" s="94" t="s">
        <v>2</v>
      </c>
      <c r="L8" s="95" t="s">
        <v>3</v>
      </c>
      <c r="N8" s="95" t="s">
        <v>3</v>
      </c>
      <c r="P8" s="195"/>
    </row>
    <row r="9" spans="1:29" ht="15" thickBot="1" x14ac:dyDescent="0.35">
      <c r="D9" s="90" t="s">
        <v>4</v>
      </c>
      <c r="N9" s="90" t="s">
        <v>4</v>
      </c>
      <c r="P9" s="196"/>
    </row>
    <row r="10" spans="1:29" ht="36" customHeight="1" thickBot="1" x14ac:dyDescent="0.35">
      <c r="D10" s="73" t="s">
        <v>5</v>
      </c>
      <c r="F10" s="21" t="s">
        <v>6</v>
      </c>
      <c r="H10" s="82" t="s">
        <v>7</v>
      </c>
      <c r="I10" s="83" t="s">
        <v>8</v>
      </c>
      <c r="J10" s="36" t="s">
        <v>9</v>
      </c>
      <c r="K10" s="36" t="s">
        <v>10</v>
      </c>
      <c r="L10" s="15" t="s">
        <v>4</v>
      </c>
      <c r="N10" s="73" t="s">
        <v>11</v>
      </c>
      <c r="P10" s="15" t="s">
        <v>12</v>
      </c>
      <c r="V10" s="203" t="s">
        <v>298</v>
      </c>
      <c r="W10" s="204"/>
      <c r="X10" s="204"/>
      <c r="Y10" s="204"/>
      <c r="Z10" s="204"/>
      <c r="AA10" s="204"/>
      <c r="AB10" s="204"/>
      <c r="AC10" s="205"/>
    </row>
    <row r="11" spans="1:29" x14ac:dyDescent="0.3">
      <c r="B11" s="22" t="s">
        <v>13</v>
      </c>
      <c r="D11" s="74"/>
      <c r="F11" s="16"/>
      <c r="H11" s="4"/>
      <c r="K11" s="5"/>
      <c r="L11" s="16"/>
      <c r="N11" s="74"/>
      <c r="P11" s="16"/>
    </row>
    <row r="12" spans="1:29" ht="14.55" customHeight="1" x14ac:dyDescent="0.3">
      <c r="A12">
        <v>1</v>
      </c>
      <c r="B12" s="1" t="s">
        <v>14</v>
      </c>
      <c r="D12" s="75">
        <v>100</v>
      </c>
      <c r="F12" s="18">
        <v>25</v>
      </c>
      <c r="H12" s="6">
        <v>0</v>
      </c>
      <c r="I12" s="7">
        <v>0</v>
      </c>
      <c r="J12" s="7">
        <v>0</v>
      </c>
      <c r="K12" s="8">
        <v>3</v>
      </c>
      <c r="L12" s="18">
        <f>SUM(H12:K12)</f>
        <v>3</v>
      </c>
      <c r="N12" s="75">
        <f>+D12+F12+L12</f>
        <v>128</v>
      </c>
      <c r="P12" s="18"/>
      <c r="R12" s="209" t="s">
        <v>15</v>
      </c>
      <c r="S12" s="209"/>
      <c r="T12" s="209"/>
      <c r="V12" s="38" t="s">
        <v>16</v>
      </c>
    </row>
    <row r="13" spans="1:29" x14ac:dyDescent="0.3">
      <c r="A13">
        <f>+A12+1</f>
        <v>2</v>
      </c>
      <c r="B13" s="1" t="s">
        <v>17</v>
      </c>
      <c r="D13" s="76">
        <v>0</v>
      </c>
      <c r="F13" s="19">
        <v>0</v>
      </c>
      <c r="H13" s="39">
        <v>0</v>
      </c>
      <c r="I13" s="10">
        <v>0</v>
      </c>
      <c r="J13" s="40">
        <v>0</v>
      </c>
      <c r="K13" s="45">
        <v>0</v>
      </c>
      <c r="L13" s="19">
        <f>SUM(H13:K13)</f>
        <v>0</v>
      </c>
      <c r="N13" s="76">
        <f>+D13+F13+L13</f>
        <v>0</v>
      </c>
      <c r="P13" s="19"/>
      <c r="R13" s="209"/>
      <c r="S13" s="209"/>
      <c r="T13" s="209"/>
    </row>
    <row r="14" spans="1:29" x14ac:dyDescent="0.3">
      <c r="A14">
        <f t="shared" ref="A14:A38" si="0">+A13+1</f>
        <v>3</v>
      </c>
      <c r="B14" s="1" t="s">
        <v>18</v>
      </c>
      <c r="D14" s="77">
        <v>0</v>
      </c>
      <c r="F14" s="17">
        <v>0</v>
      </c>
      <c r="H14" s="11">
        <v>0</v>
      </c>
      <c r="I14" s="2">
        <v>0</v>
      </c>
      <c r="J14" s="41">
        <v>0</v>
      </c>
      <c r="K14" s="42">
        <v>0</v>
      </c>
      <c r="L14" s="17">
        <f>SUM(H14:K14)</f>
        <v>0</v>
      </c>
      <c r="N14" s="77">
        <f>+D14+F14+L14</f>
        <v>0</v>
      </c>
      <c r="P14" s="17"/>
      <c r="R14" s="209"/>
      <c r="S14" s="209"/>
      <c r="T14" s="209"/>
    </row>
    <row r="15" spans="1:29" x14ac:dyDescent="0.3">
      <c r="A15">
        <f t="shared" si="0"/>
        <v>4</v>
      </c>
      <c r="B15" s="23" t="s">
        <v>19</v>
      </c>
      <c r="C15" s="26"/>
      <c r="D15" s="78">
        <f>SUM(D12:D14)</f>
        <v>100</v>
      </c>
      <c r="E15" s="26"/>
      <c r="F15" s="25">
        <f>SUM(F12:F14)</f>
        <v>25</v>
      </c>
      <c r="G15" s="26"/>
      <c r="H15" s="173">
        <f>SUM(H12:H14)</f>
        <v>0</v>
      </c>
      <c r="I15" s="27">
        <f t="shared" ref="I15:K15" si="1">SUM(I12:I14)</f>
        <v>0</v>
      </c>
      <c r="J15" s="43">
        <f t="shared" si="1"/>
        <v>0</v>
      </c>
      <c r="K15" s="44">
        <f t="shared" si="1"/>
        <v>3</v>
      </c>
      <c r="L15" s="25">
        <f>SUM(H15:K15)</f>
        <v>3</v>
      </c>
      <c r="M15" s="26"/>
      <c r="N15" s="78">
        <f>SUM(N12:N14)</f>
        <v>128</v>
      </c>
      <c r="O15" s="26"/>
      <c r="P15" s="25"/>
      <c r="Q15" s="26"/>
    </row>
    <row r="16" spans="1:29" x14ac:dyDescent="0.3">
      <c r="A16">
        <f t="shared" si="0"/>
        <v>5</v>
      </c>
      <c r="B16" s="89" t="s">
        <v>20</v>
      </c>
      <c r="D16" s="74"/>
      <c r="F16" s="16"/>
      <c r="H16" s="4"/>
      <c r="K16" s="5"/>
      <c r="L16" s="16"/>
      <c r="N16" s="74"/>
      <c r="P16" s="16"/>
      <c r="V16" s="38" t="s">
        <v>21</v>
      </c>
    </row>
    <row r="17" spans="1:22" x14ac:dyDescent="0.3">
      <c r="A17">
        <f t="shared" si="0"/>
        <v>6</v>
      </c>
      <c r="B17" s="35" t="s">
        <v>22</v>
      </c>
      <c r="D17" s="76"/>
      <c r="F17" s="19"/>
      <c r="H17" s="9"/>
      <c r="I17" s="10"/>
      <c r="K17" s="5"/>
      <c r="L17" s="16"/>
      <c r="N17" s="76"/>
      <c r="P17" s="16"/>
    </row>
    <row r="18" spans="1:22" ht="14.55" customHeight="1" x14ac:dyDescent="0.3">
      <c r="A18">
        <f t="shared" si="0"/>
        <v>7</v>
      </c>
      <c r="B18" s="3" t="s">
        <v>23</v>
      </c>
      <c r="D18" s="76">
        <v>40</v>
      </c>
      <c r="F18" s="19">
        <v>-5</v>
      </c>
      <c r="H18" s="39">
        <v>2</v>
      </c>
      <c r="I18" s="10">
        <v>1</v>
      </c>
      <c r="J18" s="40">
        <v>0</v>
      </c>
      <c r="K18" s="45">
        <v>-3</v>
      </c>
      <c r="L18" s="19">
        <f t="shared" ref="L18:L19" si="2">SUM(H18:K18)</f>
        <v>0</v>
      </c>
      <c r="N18" s="76">
        <f>+D18-F18-L18</f>
        <v>45</v>
      </c>
      <c r="P18" s="19"/>
      <c r="R18" s="210" t="s">
        <v>299</v>
      </c>
      <c r="S18" s="210"/>
      <c r="T18" s="210"/>
      <c r="V18" s="1"/>
    </row>
    <row r="19" spans="1:22" x14ac:dyDescent="0.3">
      <c r="A19">
        <f t="shared" si="0"/>
        <v>8</v>
      </c>
      <c r="B19" s="3" t="s">
        <v>24</v>
      </c>
      <c r="D19" s="76">
        <v>0</v>
      </c>
      <c r="F19" s="19">
        <v>0</v>
      </c>
      <c r="H19" s="39">
        <v>0</v>
      </c>
      <c r="I19" s="10">
        <v>0</v>
      </c>
      <c r="J19" s="40">
        <v>0</v>
      </c>
      <c r="K19" s="45">
        <v>0</v>
      </c>
      <c r="L19" s="19">
        <f t="shared" si="2"/>
        <v>0</v>
      </c>
      <c r="N19" s="76">
        <f t="shared" ref="N19:N20" si="3">+D19-F19-L19</f>
        <v>0</v>
      </c>
      <c r="P19" s="19"/>
      <c r="R19" s="210"/>
      <c r="S19" s="210"/>
      <c r="T19" s="210"/>
      <c r="V19" s="1"/>
    </row>
    <row r="20" spans="1:22" x14ac:dyDescent="0.3">
      <c r="A20">
        <f t="shared" si="0"/>
        <v>9</v>
      </c>
      <c r="B20" s="3" t="s">
        <v>25</v>
      </c>
      <c r="D20" s="77">
        <v>0</v>
      </c>
      <c r="F20" s="17">
        <v>0</v>
      </c>
      <c r="H20" s="11">
        <v>0</v>
      </c>
      <c r="I20" s="2">
        <v>0</v>
      </c>
      <c r="J20" s="41">
        <v>0</v>
      </c>
      <c r="K20" s="42">
        <v>0</v>
      </c>
      <c r="L20" s="17">
        <f>SUM(H20:K20)</f>
        <v>0</v>
      </c>
      <c r="N20" s="77">
        <f t="shared" si="3"/>
        <v>0</v>
      </c>
      <c r="P20" s="17"/>
      <c r="R20" s="210"/>
      <c r="S20" s="210"/>
      <c r="T20" s="210"/>
      <c r="V20" s="38" t="s">
        <v>26</v>
      </c>
    </row>
    <row r="21" spans="1:22" x14ac:dyDescent="0.3">
      <c r="A21">
        <f t="shared" si="0"/>
        <v>10</v>
      </c>
      <c r="B21" s="1" t="s">
        <v>27</v>
      </c>
      <c r="D21" s="76">
        <f>SUM(D18:D20)</f>
        <v>40</v>
      </c>
      <c r="F21" s="19">
        <f>SUM(F18:F20)</f>
        <v>-5</v>
      </c>
      <c r="H21" s="9">
        <f>SUM(H18:H20)</f>
        <v>2</v>
      </c>
      <c r="I21" s="10">
        <f t="shared" ref="I21:L21" si="4">SUM(I18:I20)</f>
        <v>1</v>
      </c>
      <c r="J21" s="40">
        <f t="shared" si="4"/>
        <v>0</v>
      </c>
      <c r="K21" s="45">
        <f t="shared" si="4"/>
        <v>-3</v>
      </c>
      <c r="L21" s="19">
        <f t="shared" si="4"/>
        <v>0</v>
      </c>
      <c r="N21" s="76">
        <f>SUM(N18:N20)</f>
        <v>45</v>
      </c>
      <c r="P21" s="19"/>
    </row>
    <row r="22" spans="1:22" x14ac:dyDescent="0.3">
      <c r="A22">
        <f t="shared" si="0"/>
        <v>11</v>
      </c>
      <c r="B22" s="34" t="s">
        <v>28</v>
      </c>
      <c r="D22" s="74"/>
      <c r="F22" s="16"/>
      <c r="H22" s="4"/>
      <c r="K22" s="5"/>
      <c r="L22" s="16"/>
      <c r="N22" s="74"/>
      <c r="P22" s="16"/>
      <c r="V22" s="1"/>
    </row>
    <row r="23" spans="1:22" x14ac:dyDescent="0.3">
      <c r="A23">
        <f t="shared" si="0"/>
        <v>12</v>
      </c>
      <c r="B23" s="3" t="s">
        <v>29</v>
      </c>
      <c r="D23" s="76">
        <v>0</v>
      </c>
      <c r="F23" s="19">
        <v>0</v>
      </c>
      <c r="H23" s="39">
        <v>0</v>
      </c>
      <c r="I23" s="10">
        <v>0</v>
      </c>
      <c r="J23" s="40">
        <v>0</v>
      </c>
      <c r="K23" s="45">
        <v>0</v>
      </c>
      <c r="L23" s="19">
        <f t="shared" ref="L23:L31" si="5">SUM(H23:K23)</f>
        <v>0</v>
      </c>
      <c r="N23" s="76">
        <f t="shared" ref="N23:N37" si="6">+D23-F23-L23</f>
        <v>0</v>
      </c>
      <c r="P23" s="19"/>
      <c r="R23" s="194" t="s">
        <v>30</v>
      </c>
      <c r="S23" s="194"/>
      <c r="T23" s="194"/>
    </row>
    <row r="24" spans="1:22" x14ac:dyDescent="0.3">
      <c r="A24">
        <f t="shared" si="0"/>
        <v>13</v>
      </c>
      <c r="B24" s="3" t="s">
        <v>303</v>
      </c>
      <c r="D24" s="76">
        <v>0</v>
      </c>
      <c r="F24" s="19">
        <v>0</v>
      </c>
      <c r="H24" s="39">
        <v>0</v>
      </c>
      <c r="I24" s="10">
        <v>0</v>
      </c>
      <c r="J24" s="40">
        <v>0</v>
      </c>
      <c r="K24" s="45">
        <v>0</v>
      </c>
      <c r="L24" s="19">
        <f t="shared" si="5"/>
        <v>0</v>
      </c>
      <c r="N24" s="76">
        <f t="shared" si="6"/>
        <v>0</v>
      </c>
      <c r="P24" s="19"/>
      <c r="R24" s="194"/>
      <c r="S24" s="194"/>
      <c r="T24" s="194"/>
      <c r="V24" s="38" t="s">
        <v>31</v>
      </c>
    </row>
    <row r="25" spans="1:22" x14ac:dyDescent="0.3">
      <c r="A25">
        <f t="shared" si="0"/>
        <v>14</v>
      </c>
      <c r="B25" s="3" t="s">
        <v>32</v>
      </c>
      <c r="D25" s="76">
        <v>0</v>
      </c>
      <c r="F25" s="19">
        <v>0</v>
      </c>
      <c r="H25" s="39">
        <v>0</v>
      </c>
      <c r="I25" s="10">
        <v>0</v>
      </c>
      <c r="J25" s="40">
        <v>0</v>
      </c>
      <c r="K25" s="45">
        <v>0</v>
      </c>
      <c r="L25" s="19">
        <f t="shared" si="5"/>
        <v>0</v>
      </c>
      <c r="N25" s="76">
        <f t="shared" si="6"/>
        <v>0</v>
      </c>
      <c r="P25" s="19"/>
      <c r="R25" s="194"/>
      <c r="S25" s="194"/>
      <c r="T25" s="194"/>
    </row>
    <row r="26" spans="1:22" x14ac:dyDescent="0.3">
      <c r="A26">
        <f t="shared" si="0"/>
        <v>15</v>
      </c>
      <c r="B26" s="3" t="s">
        <v>33</v>
      </c>
      <c r="D26" s="76">
        <v>0</v>
      </c>
      <c r="F26" s="19">
        <v>0</v>
      </c>
      <c r="H26" s="39">
        <v>0</v>
      </c>
      <c r="I26" s="10">
        <v>0</v>
      </c>
      <c r="J26" s="40">
        <v>0</v>
      </c>
      <c r="K26" s="45">
        <v>0</v>
      </c>
      <c r="L26" s="19">
        <f t="shared" si="5"/>
        <v>0</v>
      </c>
      <c r="N26" s="76">
        <f t="shared" si="6"/>
        <v>0</v>
      </c>
      <c r="P26" s="19"/>
      <c r="R26" s="194"/>
      <c r="S26" s="194"/>
      <c r="T26" s="194"/>
      <c r="V26" s="1"/>
    </row>
    <row r="27" spans="1:22" x14ac:dyDescent="0.3">
      <c r="A27">
        <f t="shared" si="0"/>
        <v>16</v>
      </c>
      <c r="B27" s="3" t="s">
        <v>34</v>
      </c>
      <c r="D27" s="76">
        <v>0</v>
      </c>
      <c r="F27" s="19">
        <v>0</v>
      </c>
      <c r="H27" s="39">
        <v>0</v>
      </c>
      <c r="I27" s="10">
        <v>0</v>
      </c>
      <c r="J27" s="40">
        <v>0</v>
      </c>
      <c r="K27" s="45">
        <v>0</v>
      </c>
      <c r="L27" s="19">
        <f t="shared" si="5"/>
        <v>0</v>
      </c>
      <c r="N27" s="76">
        <f t="shared" si="6"/>
        <v>0</v>
      </c>
      <c r="P27" s="19"/>
      <c r="R27" s="194"/>
      <c r="S27" s="194"/>
      <c r="T27" s="194"/>
    </row>
    <row r="28" spans="1:22" x14ac:dyDescent="0.3">
      <c r="A28">
        <f t="shared" si="0"/>
        <v>17</v>
      </c>
      <c r="B28" s="3" t="s">
        <v>35</v>
      </c>
      <c r="D28" s="76">
        <v>0</v>
      </c>
      <c r="F28" s="19">
        <v>0</v>
      </c>
      <c r="H28" s="39">
        <v>0</v>
      </c>
      <c r="I28" s="10">
        <v>0</v>
      </c>
      <c r="J28" s="40">
        <v>0</v>
      </c>
      <c r="K28" s="45">
        <v>0</v>
      </c>
      <c r="L28" s="19">
        <f t="shared" si="5"/>
        <v>0</v>
      </c>
      <c r="N28" s="76">
        <f t="shared" si="6"/>
        <v>0</v>
      </c>
      <c r="P28" s="19"/>
      <c r="R28" s="194"/>
      <c r="S28" s="194"/>
      <c r="T28" s="194"/>
      <c r="V28" s="38"/>
    </row>
    <row r="29" spans="1:22" x14ac:dyDescent="0.3">
      <c r="A29">
        <f t="shared" si="0"/>
        <v>18</v>
      </c>
      <c r="B29" s="3" t="s">
        <v>36</v>
      </c>
      <c r="D29" s="76">
        <v>0</v>
      </c>
      <c r="F29" s="19">
        <v>0</v>
      </c>
      <c r="H29" s="39">
        <v>0</v>
      </c>
      <c r="I29" s="10">
        <v>0</v>
      </c>
      <c r="J29" s="40">
        <v>0</v>
      </c>
      <c r="K29" s="45">
        <v>0</v>
      </c>
      <c r="L29" s="19">
        <f t="shared" si="5"/>
        <v>0</v>
      </c>
      <c r="N29" s="76">
        <f t="shared" si="6"/>
        <v>0</v>
      </c>
      <c r="P29" s="19"/>
      <c r="R29" s="194"/>
      <c r="S29" s="194"/>
      <c r="T29" s="194"/>
    </row>
    <row r="30" spans="1:22" x14ac:dyDescent="0.3">
      <c r="A30">
        <f t="shared" si="0"/>
        <v>19</v>
      </c>
      <c r="B30" s="3" t="s">
        <v>37</v>
      </c>
      <c r="D30" s="76">
        <v>0</v>
      </c>
      <c r="F30" s="19">
        <v>0</v>
      </c>
      <c r="H30" s="39">
        <v>0</v>
      </c>
      <c r="I30" s="10">
        <v>0</v>
      </c>
      <c r="J30" s="40">
        <v>0</v>
      </c>
      <c r="K30" s="45">
        <v>0</v>
      </c>
      <c r="L30" s="19">
        <f t="shared" si="5"/>
        <v>0</v>
      </c>
      <c r="N30" s="76">
        <f t="shared" si="6"/>
        <v>0</v>
      </c>
      <c r="P30" s="19"/>
      <c r="R30" s="194"/>
      <c r="S30" s="194"/>
      <c r="T30" s="194"/>
    </row>
    <row r="31" spans="1:22" x14ac:dyDescent="0.3">
      <c r="A31">
        <f t="shared" si="0"/>
        <v>20</v>
      </c>
      <c r="B31" s="3" t="s">
        <v>38</v>
      </c>
      <c r="D31" s="76">
        <v>0</v>
      </c>
      <c r="F31" s="19">
        <v>0</v>
      </c>
      <c r="H31" s="39">
        <v>0</v>
      </c>
      <c r="I31" s="10">
        <v>0</v>
      </c>
      <c r="J31" s="40">
        <v>0</v>
      </c>
      <c r="K31" s="45">
        <v>0</v>
      </c>
      <c r="L31" s="19">
        <f t="shared" si="5"/>
        <v>0</v>
      </c>
      <c r="N31" s="76">
        <f t="shared" si="6"/>
        <v>0</v>
      </c>
      <c r="P31" s="19"/>
      <c r="R31" s="194"/>
      <c r="S31" s="194"/>
      <c r="T31" s="194"/>
    </row>
    <row r="32" spans="1:22" x14ac:dyDescent="0.3">
      <c r="A32">
        <f t="shared" si="0"/>
        <v>21</v>
      </c>
      <c r="B32" s="3" t="s">
        <v>304</v>
      </c>
      <c r="D32" s="76">
        <v>0</v>
      </c>
      <c r="F32" s="19">
        <v>0</v>
      </c>
      <c r="H32" s="39">
        <v>0</v>
      </c>
      <c r="I32" s="10">
        <v>0</v>
      </c>
      <c r="J32" s="40">
        <v>0</v>
      </c>
      <c r="K32" s="45">
        <v>0</v>
      </c>
      <c r="L32" s="19">
        <f t="shared" ref="L32:L36" si="7">SUM(H32:K32)</f>
        <v>0</v>
      </c>
      <c r="N32" s="76">
        <f t="shared" si="6"/>
        <v>0</v>
      </c>
      <c r="P32" s="19"/>
      <c r="R32" s="194"/>
      <c r="S32" s="194"/>
      <c r="T32" s="194"/>
    </row>
    <row r="33" spans="1:20" x14ac:dyDescent="0.3">
      <c r="A33">
        <f t="shared" si="0"/>
        <v>22</v>
      </c>
      <c r="B33" s="3" t="s">
        <v>304</v>
      </c>
      <c r="D33" s="76">
        <v>0</v>
      </c>
      <c r="F33" s="19">
        <v>0</v>
      </c>
      <c r="H33" s="39">
        <v>0</v>
      </c>
      <c r="I33" s="10">
        <v>0</v>
      </c>
      <c r="J33" s="40">
        <v>0</v>
      </c>
      <c r="K33" s="45">
        <v>0</v>
      </c>
      <c r="L33" s="19">
        <f t="shared" si="7"/>
        <v>0</v>
      </c>
      <c r="N33" s="76">
        <f t="shared" si="6"/>
        <v>0</v>
      </c>
      <c r="P33" s="19"/>
      <c r="R33" s="194"/>
      <c r="S33" s="194"/>
      <c r="T33" s="194"/>
    </row>
    <row r="34" spans="1:20" x14ac:dyDescent="0.3">
      <c r="A34">
        <f t="shared" si="0"/>
        <v>23</v>
      </c>
      <c r="B34" s="3" t="s">
        <v>304</v>
      </c>
      <c r="D34" s="76">
        <v>0</v>
      </c>
      <c r="F34" s="19">
        <v>0</v>
      </c>
      <c r="H34" s="39">
        <v>0</v>
      </c>
      <c r="I34" s="10">
        <v>0</v>
      </c>
      <c r="J34" s="40">
        <v>0</v>
      </c>
      <c r="K34" s="45">
        <v>0</v>
      </c>
      <c r="L34" s="19">
        <f t="shared" si="7"/>
        <v>0</v>
      </c>
      <c r="N34" s="76">
        <f t="shared" si="6"/>
        <v>0</v>
      </c>
      <c r="P34" s="19"/>
      <c r="R34" s="194"/>
      <c r="S34" s="194"/>
      <c r="T34" s="194"/>
    </row>
    <row r="35" spans="1:20" x14ac:dyDescent="0.3">
      <c r="A35">
        <f t="shared" si="0"/>
        <v>24</v>
      </c>
      <c r="B35" s="34" t="s">
        <v>39</v>
      </c>
      <c r="D35" s="76">
        <v>0</v>
      </c>
      <c r="F35" s="19">
        <v>0</v>
      </c>
      <c r="H35" s="39">
        <v>0</v>
      </c>
      <c r="I35" s="10">
        <v>0</v>
      </c>
      <c r="J35" s="40">
        <v>0</v>
      </c>
      <c r="K35" s="45">
        <v>0</v>
      </c>
      <c r="L35" s="19">
        <f t="shared" si="7"/>
        <v>0</v>
      </c>
      <c r="N35" s="76">
        <f t="shared" si="6"/>
        <v>0</v>
      </c>
      <c r="P35" s="19"/>
      <c r="R35" s="194"/>
      <c r="S35" s="194"/>
      <c r="T35" s="194"/>
    </row>
    <row r="36" spans="1:20" x14ac:dyDescent="0.3">
      <c r="A36">
        <f t="shared" si="0"/>
        <v>25</v>
      </c>
      <c r="B36" s="34" t="s">
        <v>40</v>
      </c>
      <c r="D36" s="76">
        <v>0</v>
      </c>
      <c r="F36" s="19">
        <v>0</v>
      </c>
      <c r="H36" s="39">
        <v>0</v>
      </c>
      <c r="I36" s="10">
        <v>0</v>
      </c>
      <c r="J36" s="40">
        <v>0</v>
      </c>
      <c r="K36" s="45">
        <v>0</v>
      </c>
      <c r="L36" s="19">
        <f t="shared" si="7"/>
        <v>0</v>
      </c>
      <c r="N36" s="76">
        <f t="shared" si="6"/>
        <v>0</v>
      </c>
      <c r="P36" s="19"/>
      <c r="R36" s="194"/>
      <c r="S36" s="194"/>
      <c r="T36" s="194"/>
    </row>
    <row r="37" spans="1:20" x14ac:dyDescent="0.3">
      <c r="A37">
        <f t="shared" si="0"/>
        <v>26</v>
      </c>
      <c r="B37" s="34" t="s">
        <v>41</v>
      </c>
      <c r="D37" s="77">
        <v>0</v>
      </c>
      <c r="F37" s="17">
        <v>0</v>
      </c>
      <c r="H37" s="11">
        <v>0</v>
      </c>
      <c r="I37" s="2">
        <v>0</v>
      </c>
      <c r="J37" s="41">
        <v>0</v>
      </c>
      <c r="K37" s="42">
        <v>0</v>
      </c>
      <c r="L37" s="17">
        <f>SUM(H37:K37)</f>
        <v>0</v>
      </c>
      <c r="N37" s="77">
        <f t="shared" si="6"/>
        <v>0</v>
      </c>
      <c r="P37" s="17"/>
      <c r="R37" s="194"/>
      <c r="S37" s="194"/>
      <c r="T37" s="194"/>
    </row>
    <row r="38" spans="1:20" x14ac:dyDescent="0.3">
      <c r="A38">
        <f t="shared" si="0"/>
        <v>27</v>
      </c>
      <c r="B38" s="37" t="s">
        <v>42</v>
      </c>
      <c r="C38" s="26"/>
      <c r="D38" s="79">
        <f>SUM(D23:D37)+D21</f>
        <v>40</v>
      </c>
      <c r="E38" s="26"/>
      <c r="F38" s="28">
        <f>SUM(F23:F37)+F21</f>
        <v>-5</v>
      </c>
      <c r="G38" s="26"/>
      <c r="H38" s="29">
        <f>SUM(H23:H37)+H21</f>
        <v>2</v>
      </c>
      <c r="I38" s="30">
        <f>SUM(I23:I37)+I21</f>
        <v>1</v>
      </c>
      <c r="J38" s="30">
        <f>SUM(J23:J37)+J21</f>
        <v>0</v>
      </c>
      <c r="K38" s="31">
        <f>SUM(K23:K37)+K21</f>
        <v>-3</v>
      </c>
      <c r="L38" s="28">
        <f>SUM(H38:K38)</f>
        <v>0</v>
      </c>
      <c r="M38" s="26"/>
      <c r="N38" s="79">
        <f>SUM(N23:N37)+N21</f>
        <v>45</v>
      </c>
      <c r="O38" s="26"/>
      <c r="P38" s="28"/>
      <c r="Q38" s="26"/>
    </row>
    <row r="39" spans="1:20" x14ac:dyDescent="0.3">
      <c r="B39" s="1"/>
      <c r="D39" s="80"/>
      <c r="F39" s="20"/>
      <c r="H39" s="12"/>
      <c r="I39" s="13"/>
      <c r="J39" s="13"/>
      <c r="K39" s="14"/>
      <c r="L39" s="20"/>
      <c r="N39" s="80"/>
      <c r="P39" s="20"/>
      <c r="R39" s="26" t="s">
        <v>302</v>
      </c>
    </row>
    <row r="40" spans="1:20" x14ac:dyDescent="0.3">
      <c r="A40">
        <f>+A38+1</f>
        <v>28</v>
      </c>
      <c r="B40" s="24" t="s">
        <v>43</v>
      </c>
      <c r="C40" s="33"/>
      <c r="D40" s="81">
        <f>+D15-D38</f>
        <v>60</v>
      </c>
      <c r="E40" s="33"/>
      <c r="F40" s="84">
        <f>+F15+F38</f>
        <v>20</v>
      </c>
      <c r="G40" s="85"/>
      <c r="H40" s="86">
        <f>+H15+H38</f>
        <v>2</v>
      </c>
      <c r="I40" s="87">
        <f>+I15+I38</f>
        <v>1</v>
      </c>
      <c r="J40" s="87">
        <f>+J15+J38</f>
        <v>0</v>
      </c>
      <c r="K40" s="88">
        <f>+K15+K38</f>
        <v>0</v>
      </c>
      <c r="L40" s="84">
        <f>+L15+L38</f>
        <v>3</v>
      </c>
      <c r="M40" s="33"/>
      <c r="N40" s="81">
        <f>+N15-N38</f>
        <v>83</v>
      </c>
      <c r="O40" s="33"/>
      <c r="P40" s="32"/>
      <c r="Q40" s="33"/>
      <c r="R40" s="50" t="s">
        <v>44</v>
      </c>
      <c r="S40" t="s">
        <v>45</v>
      </c>
    </row>
    <row r="41" spans="1:20" x14ac:dyDescent="0.3">
      <c r="B41" s="24"/>
      <c r="C41" s="33"/>
      <c r="D41" s="49" t="s">
        <v>44</v>
      </c>
      <c r="E41" s="33"/>
      <c r="F41" s="47"/>
      <c r="G41" s="33"/>
      <c r="H41" s="47"/>
      <c r="I41" s="48"/>
      <c r="J41" s="48"/>
      <c r="K41" s="185" t="s">
        <v>300</v>
      </c>
      <c r="L41" s="47"/>
      <c r="M41" s="33"/>
      <c r="N41" s="49" t="s">
        <v>44</v>
      </c>
      <c r="O41" s="33"/>
      <c r="P41" s="33"/>
      <c r="Q41" s="33"/>
      <c r="R41" s="186" t="s">
        <v>300</v>
      </c>
      <c r="S41" t="s">
        <v>301</v>
      </c>
    </row>
    <row r="42" spans="1:20" x14ac:dyDescent="0.3">
      <c r="C42" s="33"/>
      <c r="D42" s="49"/>
      <c r="E42" s="33"/>
      <c r="F42" s="47"/>
      <c r="G42" s="33"/>
      <c r="H42" s="47"/>
      <c r="I42" s="48"/>
      <c r="J42" s="48"/>
      <c r="K42" s="48"/>
      <c r="L42" s="47"/>
      <c r="M42" s="33"/>
      <c r="N42" s="49"/>
      <c r="O42" s="33"/>
      <c r="P42" s="33"/>
      <c r="Q42" s="33"/>
    </row>
    <row r="43" spans="1:20" x14ac:dyDescent="0.3">
      <c r="D43" s="49"/>
      <c r="E43" s="33"/>
      <c r="F43" s="47"/>
      <c r="G43" s="33"/>
      <c r="H43" s="47"/>
      <c r="I43" s="48"/>
      <c r="J43" s="48"/>
      <c r="K43" s="48"/>
      <c r="L43" s="47"/>
      <c r="M43" s="33"/>
      <c r="N43" s="49"/>
      <c r="O43" s="33"/>
      <c r="P43" s="33"/>
      <c r="Q43" s="33"/>
    </row>
    <row r="44" spans="1:20" x14ac:dyDescent="0.3">
      <c r="B44" s="24"/>
      <c r="C44" s="33"/>
      <c r="D44" s="49"/>
      <c r="E44" s="33"/>
      <c r="F44" s="47"/>
      <c r="G44" s="33"/>
      <c r="H44" s="47"/>
      <c r="I44" s="48"/>
      <c r="J44" s="48"/>
      <c r="K44" s="48"/>
      <c r="L44" s="47"/>
      <c r="M44" s="33"/>
      <c r="N44" s="49"/>
      <c r="O44" s="33"/>
      <c r="P44" s="33"/>
      <c r="Q44" s="33"/>
    </row>
    <row r="45" spans="1:20" ht="14.55" customHeight="1" x14ac:dyDescent="0.3">
      <c r="A45" s="72"/>
    </row>
    <row r="46" spans="1:20" ht="7.05" customHeight="1" x14ac:dyDescent="0.3">
      <c r="A46" s="72"/>
    </row>
    <row r="47" spans="1:20" x14ac:dyDescent="0.3">
      <c r="A47" s="72"/>
    </row>
    <row r="48" spans="1:20" x14ac:dyDescent="0.3">
      <c r="A48" s="72"/>
    </row>
    <row r="49" spans="1:1" x14ac:dyDescent="0.3">
      <c r="A49" s="72"/>
    </row>
    <row r="50" spans="1:1" x14ac:dyDescent="0.3">
      <c r="A50" s="72"/>
    </row>
    <row r="51" spans="1:1" x14ac:dyDescent="0.3">
      <c r="A51" s="72"/>
    </row>
    <row r="52" spans="1:1" x14ac:dyDescent="0.3">
      <c r="A52" s="72"/>
    </row>
    <row r="53" spans="1:1" x14ac:dyDescent="0.3">
      <c r="A53" s="72"/>
    </row>
    <row r="54" spans="1:1" x14ac:dyDescent="0.3">
      <c r="A54" s="72"/>
    </row>
    <row r="55" spans="1:1" x14ac:dyDescent="0.3">
      <c r="A55" s="72"/>
    </row>
    <row r="56" spans="1:1" x14ac:dyDescent="0.3">
      <c r="A56" s="72"/>
    </row>
    <row r="57" spans="1:1" x14ac:dyDescent="0.3">
      <c r="A57" s="72"/>
    </row>
    <row r="58" spans="1:1" x14ac:dyDescent="0.3">
      <c r="A58" s="72"/>
    </row>
    <row r="59" spans="1:1" x14ac:dyDescent="0.3">
      <c r="A59" s="72"/>
    </row>
    <row r="60" spans="1:1" x14ac:dyDescent="0.3">
      <c r="A60" s="72"/>
    </row>
    <row r="61" spans="1:1" x14ac:dyDescent="0.3">
      <c r="A61" s="72"/>
    </row>
  </sheetData>
  <mergeCells count="7">
    <mergeCell ref="R23:T37"/>
    <mergeCell ref="P6:P9"/>
    <mergeCell ref="B3:R4"/>
    <mergeCell ref="V10:AC10"/>
    <mergeCell ref="F6:L6"/>
    <mergeCell ref="R12:T14"/>
    <mergeCell ref="R18:T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D3E12-F004-42E5-9286-35E1C7A52AE0}">
  <sheetPr>
    <tabColor rgb="FFFFFF00"/>
  </sheetPr>
  <dimension ref="A1"/>
  <sheetViews>
    <sheetView workbookViewId="0">
      <selection activeCell="G28" sqref="G28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81626-E167-4A21-B5EF-1C20A0906EC1}">
  <sheetPr>
    <tabColor rgb="FF92D050"/>
  </sheetPr>
  <dimension ref="A1:AG29"/>
  <sheetViews>
    <sheetView showGridLines="0" workbookViewId="0">
      <selection activeCell="I13" sqref="I13"/>
    </sheetView>
  </sheetViews>
  <sheetFormatPr defaultRowHeight="14.4" x14ac:dyDescent="0.3"/>
  <cols>
    <col min="1" max="1" width="18" customWidth="1"/>
    <col min="2" max="2" width="16.21875" customWidth="1"/>
    <col min="3" max="3" width="8.44140625" hidden="1" customWidth="1"/>
    <col min="4" max="7" width="12.77734375" customWidth="1"/>
    <col min="8" max="8" width="2.21875" customWidth="1"/>
    <col min="9" max="11" width="18.77734375" customWidth="1"/>
    <col min="12" max="12" width="20.44140625" customWidth="1"/>
    <col min="13" max="14" width="18.77734375" customWidth="1"/>
    <col min="15" max="15" width="2.77734375" customWidth="1"/>
    <col min="16" max="16" width="14" bestFit="1" customWidth="1"/>
    <col min="17" max="17" width="22.44140625" bestFit="1" customWidth="1"/>
    <col min="18" max="18" width="3.77734375" customWidth="1"/>
    <col min="19" max="19" width="22.77734375" bestFit="1" customWidth="1"/>
    <col min="20" max="20" width="102.77734375" bestFit="1" customWidth="1"/>
  </cols>
  <sheetData>
    <row r="1" spans="1:33" x14ac:dyDescent="0.3">
      <c r="F1" s="211" t="s">
        <v>46</v>
      </c>
      <c r="G1" s="211"/>
      <c r="H1" s="145"/>
    </row>
    <row r="2" spans="1:33" x14ac:dyDescent="0.3">
      <c r="A2" s="109" t="s">
        <v>47</v>
      </c>
      <c r="E2" s="104"/>
      <c r="G2" s="145"/>
      <c r="H2" s="145"/>
    </row>
    <row r="3" spans="1:33" x14ac:dyDescent="0.3">
      <c r="A3" s="109" t="s">
        <v>305</v>
      </c>
      <c r="E3" s="104"/>
      <c r="G3" s="145"/>
      <c r="H3" s="145"/>
    </row>
    <row r="4" spans="1:33" x14ac:dyDescent="0.3">
      <c r="A4" s="109"/>
      <c r="E4" s="104"/>
      <c r="G4" s="145"/>
      <c r="H4" s="145"/>
    </row>
    <row r="5" spans="1:33" x14ac:dyDescent="0.3">
      <c r="A5" s="109"/>
      <c r="D5" s="172" t="s">
        <v>2</v>
      </c>
      <c r="E5" s="172" t="s">
        <v>2</v>
      </c>
      <c r="F5" s="168" t="s">
        <v>3</v>
      </c>
      <c r="G5" s="156" t="s">
        <v>3</v>
      </c>
      <c r="H5" s="154"/>
      <c r="I5" s="162" t="s">
        <v>3</v>
      </c>
      <c r="J5" s="167" t="s">
        <v>3</v>
      </c>
      <c r="K5" s="168" t="s">
        <v>3</v>
      </c>
      <c r="L5" s="168" t="s">
        <v>3</v>
      </c>
      <c r="M5" s="168" t="s">
        <v>3</v>
      </c>
      <c r="N5" s="169" t="s">
        <v>3</v>
      </c>
      <c r="O5" s="170"/>
      <c r="P5" s="155" t="s">
        <v>3</v>
      </c>
      <c r="Q5" s="152" t="s">
        <v>2</v>
      </c>
      <c r="S5" s="52"/>
      <c r="T5" s="52"/>
    </row>
    <row r="6" spans="1:33" ht="28.8" x14ac:dyDescent="0.3">
      <c r="A6" s="51" t="s">
        <v>48</v>
      </c>
      <c r="B6" s="51" t="s">
        <v>49</v>
      </c>
      <c r="C6" s="51" t="s">
        <v>50</v>
      </c>
      <c r="D6" s="157" t="s">
        <v>51</v>
      </c>
      <c r="E6" s="163" t="s">
        <v>52</v>
      </c>
      <c r="F6" s="158" t="s">
        <v>53</v>
      </c>
      <c r="G6" s="159" t="s">
        <v>54</v>
      </c>
      <c r="H6" s="52"/>
      <c r="I6" s="157" t="s">
        <v>55</v>
      </c>
      <c r="J6" s="163" t="s">
        <v>56</v>
      </c>
      <c r="K6" s="163" t="s">
        <v>57</v>
      </c>
      <c r="L6" s="163" t="s">
        <v>292</v>
      </c>
      <c r="M6" s="163" t="s">
        <v>58</v>
      </c>
      <c r="N6" s="159" t="s">
        <v>59</v>
      </c>
      <c r="O6" s="52"/>
      <c r="P6" s="51" t="s">
        <v>60</v>
      </c>
      <c r="Q6" s="51" t="s">
        <v>61</v>
      </c>
      <c r="R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3"/>
    </row>
    <row r="7" spans="1:33" x14ac:dyDescent="0.3">
      <c r="A7" t="s">
        <v>62</v>
      </c>
      <c r="B7" s="54" t="s">
        <v>24</v>
      </c>
      <c r="C7" s="55"/>
      <c r="D7" s="56">
        <v>60000</v>
      </c>
      <c r="E7" s="56">
        <v>50000</v>
      </c>
      <c r="F7" s="160">
        <f>IFERROR(-G7/E7,0)</f>
        <v>0.2</v>
      </c>
      <c r="G7" s="174">
        <f>+E7-D7</f>
        <v>-10000</v>
      </c>
      <c r="H7" s="153"/>
      <c r="I7" s="164">
        <f>SUMIFS('SWB Variance Input'!$F$10:$F$100,'SWB Variance Input'!$C$10:$C$100,"Faculty Salaries",'SWB Variance Input'!$A$10:$A$100,"OEClin_RA",'SWB Variance Input'!$E$10:$E$100,"Incentives")</f>
        <v>10000</v>
      </c>
      <c r="J7" s="153">
        <f>SUMIFS('SWB Variance Input'!$F$10:$F$100,'SWB Variance Input'!$C$10:$C$100,"Faculty Salaries",'SWB Variance Input'!$A$10:$A$100,"OEClin_RA",'SWB Variance Input'!$E$10:$E$100,"Market")</f>
        <v>0</v>
      </c>
      <c r="K7" s="153">
        <f>SUMIFS('SWB Variance Input'!$F$10:$F$100,'SWB Variance Input'!$C$10:$C$100,"Faculty Salaries",'SWB Variance Input'!$A$10:$A$100,"OEClin_RA",'SWB Variance Input'!$E$10:$E$100,"Net New Providers")</f>
        <v>0</v>
      </c>
      <c r="L7" s="153">
        <f>SUMIFS('SWB Variance Input'!$F$10:$F$100,'SWB Variance Input'!$C$10:$C$100,"Faculty Salaries",'SWB Variance Input'!$A$10:$A$100,"OEClin_RA",'SWB Variance Input'!$E$10:$E$100,"Operating Entity Shift")</f>
        <v>0</v>
      </c>
      <c r="M7" s="153">
        <f>SUMIFS('SWB Variance Input'!$F$10:$F$100,'SWB Variance Input'!$C$10:$C$100,"Faculty Salaries",'SWB Variance Input'!$A$10:$A$100,"OEClin_RA",'SWB Variance Input'!$E$10:$E$100,"Other")</f>
        <v>0</v>
      </c>
      <c r="N7" s="175">
        <f>+I7+K7+J7+M7</f>
        <v>10000</v>
      </c>
      <c r="O7" s="171"/>
      <c r="P7" s="180">
        <f>SUMIFS('SWB Variance Input'!$I$10:$I$100,'SWB Variance Input'!$C$10:$C$100,"Faculty Salaries",'SWB Variance Input'!$A$10:$A$100,"OEClin_RA")</f>
        <v>0</v>
      </c>
    </row>
    <row r="8" spans="1:33" x14ac:dyDescent="0.3">
      <c r="A8" t="s">
        <v>63</v>
      </c>
      <c r="B8" s="54" t="s">
        <v>24</v>
      </c>
      <c r="C8" s="58"/>
      <c r="D8" s="56">
        <v>550000</v>
      </c>
      <c r="E8" s="56">
        <v>300000</v>
      </c>
      <c r="F8" s="160">
        <f t="shared" ref="F8:F13" si="0">IFERROR(-G8/E8,0)</f>
        <v>0.83333333333333337</v>
      </c>
      <c r="G8" s="174">
        <f t="shared" ref="G8:G13" si="1">+E8-D8</f>
        <v>-250000</v>
      </c>
      <c r="H8" s="153"/>
      <c r="I8" s="164">
        <f>SUMIFS('SWB Variance Input'!$F$10:$F$100,'SWB Variance Input'!$C$10:$C$100,"Faculty Salaries",'SWB Variance Input'!$A$10:$A$100,"OEClin_VMG",'SWB Variance Input'!$E$10:$E$100,"Incentives")</f>
        <v>0</v>
      </c>
      <c r="J8" s="153">
        <f>SUMIFS('SWB Variance Input'!$F$10:$F$100,'SWB Variance Input'!$C$10:$C$100,"Faculty Salaries",'SWB Variance Input'!$A$10:$A$100,"OEClin_VMG",'SWB Variance Input'!$E$10:$E$100,"Market")</f>
        <v>0</v>
      </c>
      <c r="K8" s="153">
        <f>SUMIFS('SWB Variance Input'!$F$10:$F$100,'SWB Variance Input'!$C$10:$C$100,"Faculty Salaries",'SWB Variance Input'!$A$10:$A$100,"OEClin_VMG",'SWB Variance Input'!$E$10:$E$100,"Net New Providers")</f>
        <v>250000</v>
      </c>
      <c r="L8" s="153">
        <f>SUMIFS('SWB Variance Input'!$F$10:$F$100,'SWB Variance Input'!$C$10:$C$100,"Faculty Salaries",'SWB Variance Input'!$A$10:$A$100,"OEClin_VMG",'SWB Variance Input'!$E$10:$E$100,"Operating Entity Shift")</f>
        <v>0</v>
      </c>
      <c r="M8" s="153">
        <f>SUMIFS('SWB Variance Input'!$F$10:$F$100,'SWB Variance Input'!$C$10:$C$100,"Faculty Salaries",'SWB Variance Input'!$A$10:$A$100,"OEClin_VMG",'SWB Variance Input'!$E$10:$E$100,"Other")</f>
        <v>0</v>
      </c>
      <c r="N8" s="175">
        <f>+I8+K8+J8+M8</f>
        <v>250000</v>
      </c>
      <c r="O8" s="171"/>
      <c r="P8" s="180">
        <f>SUMIFS('SWB Variance Input'!$I$10:$I$100,'SWB Variance Input'!$C$10:$C$100,"Faculty Salaries",'SWB Variance Input'!$A$10:$A$100,"OEClin_VMG")</f>
        <v>1</v>
      </c>
    </row>
    <row r="9" spans="1:33" x14ac:dyDescent="0.3">
      <c r="A9" t="s">
        <v>64</v>
      </c>
      <c r="B9" s="54" t="s">
        <v>24</v>
      </c>
      <c r="C9" s="58"/>
      <c r="D9" s="56">
        <f>SUMIFS('SWB Variance Input'!$F$10:$F$100,'SWB Variance Input'!$C$10:$C$100,"Faculty Salaries",'SWB Variance Input'!$A$10:$A$100,"OEClin_Edu")</f>
        <v>0</v>
      </c>
      <c r="E9" s="56"/>
      <c r="F9" s="160">
        <f t="shared" si="0"/>
        <v>0</v>
      </c>
      <c r="G9" s="174">
        <f t="shared" si="1"/>
        <v>0</v>
      </c>
      <c r="H9" s="153"/>
      <c r="I9" s="164">
        <f>SUMIFS('SWB Variance Input'!$F$10:$F$100,'SWB Variance Input'!$C$10:$C$100,"Faculty Salaries",'SWB Variance Input'!$A$10:$A$100,"OEClin_Edu",'SWB Variance Input'!$E$10:$E$100,"Incentives")</f>
        <v>0</v>
      </c>
      <c r="J9" s="153">
        <f>SUMIFS('SWB Variance Input'!$F$10:$F$100,'SWB Variance Input'!$C$10:$C$100,"Faculty Salaries",'SWB Variance Input'!$A$10:$A$100,"OEClin_Edu",'SWB Variance Input'!$E$10:$E$100,"Market")</f>
        <v>0</v>
      </c>
      <c r="K9" s="153">
        <f>SUMIFS('SWB Variance Input'!$F$10:$F$100,'SWB Variance Input'!$C$10:$C$100,"Faculty Salaries",'SWB Variance Input'!$A$10:$A$100,"OEClin_Edu",'SWB Variance Input'!$E$10:$E$100,"Net New Providers")</f>
        <v>0</v>
      </c>
      <c r="L9" s="153">
        <f>SUMIFS('SWB Variance Input'!$F$10:$F$100,'SWB Variance Input'!$C$10:$C$100,"Faculty Salaries",'SWB Variance Input'!$A$10:$A$100,"OEClin_Edu",'SWB Variance Input'!$E$10:$E$100,"Operating Entity Shift")</f>
        <v>0</v>
      </c>
      <c r="M9" s="153">
        <f>SUMIFS('SWB Variance Input'!$F$10:$F$100,'SWB Variance Input'!$C$10:$C$100,"Faculty Salaries",'SWB Variance Input'!$A$10:$A$100,"OEClin_Edu",'SWB Variance Input'!$E$10:$E$100,"Other")</f>
        <v>0</v>
      </c>
      <c r="N9" s="175">
        <f>+I9+K9+J9+M9</f>
        <v>0</v>
      </c>
      <c r="O9" s="171"/>
      <c r="P9" s="180">
        <f>SUMIFS('SWB Variance Input'!$I$10:$I$100,'SWB Variance Input'!$C$10:$C$100,"Faculty Salaries",'SWB Variance Input'!$A$10:$A$100,"OEClin_Edu")</f>
        <v>0</v>
      </c>
    </row>
    <row r="10" spans="1:33" x14ac:dyDescent="0.3">
      <c r="A10" t="s">
        <v>65</v>
      </c>
      <c r="B10" s="54" t="s">
        <v>24</v>
      </c>
      <c r="C10" s="58"/>
      <c r="D10" s="56">
        <f>SUMIFS('SWB Variance Input'!$F$10:$F$100,'SWB Variance Input'!$C$10:$C$100,"Faculty Salaries",'SWB Variance Input'!$A$10:$A$100,"OEAcad_RA")</f>
        <v>0</v>
      </c>
      <c r="E10" s="56"/>
      <c r="F10" s="160">
        <f t="shared" si="0"/>
        <v>0</v>
      </c>
      <c r="G10" s="174">
        <f t="shared" si="1"/>
        <v>0</v>
      </c>
      <c r="H10" s="153"/>
      <c r="I10" s="164">
        <f>SUMIFS('SWB Variance Input'!$F$10:$F$100,'SWB Variance Input'!$C$10:$C$100,"Faculty Salaries",'SWB Variance Input'!$A$10:$A$100,"OEAcad_RA",'SWB Variance Input'!$E$10:$E$100,"Incentives")</f>
        <v>0</v>
      </c>
      <c r="J10" s="153">
        <f>SUMIFS('SWB Variance Input'!$F$10:$F$100,'SWB Variance Input'!$C$10:$C$100,"Faculty Salaries",'SWB Variance Input'!$A$10:$A$100,"OEAcad_RA",'SWB Variance Input'!$E$10:$E$100,"Market")</f>
        <v>0</v>
      </c>
      <c r="K10" s="153">
        <f>SUMIFS('SWB Variance Input'!$F$10:$F$100,'SWB Variance Input'!$C$10:$C$100,"Faculty Salaries",'SWB Variance Input'!$A$10:$A$100,"OEAcad_RA",'SWB Variance Input'!$E$10:$E$100,"Net New Providers")</f>
        <v>0</v>
      </c>
      <c r="L10" s="153">
        <f>SUMIFS('SWB Variance Input'!$F$10:$F$100,'SWB Variance Input'!$C$10:$C$100,"Faculty Salaries",'SWB Variance Input'!$A$10:$A$100,"OEAcad_RA",'SWB Variance Input'!$E$10:$E$100,"Operating Entity Shift")</f>
        <v>0</v>
      </c>
      <c r="M10" s="153">
        <f>SUMIFS('SWB Variance Input'!$F$10:$F$100,'SWB Variance Input'!$C$10:$C$100,"Faculty Salaries",'SWB Variance Input'!$A$10:$A$100,"OEAcad_RA",'SWB Variance Input'!$E$10:$E$100,"Other")</f>
        <v>0</v>
      </c>
      <c r="N10" s="175">
        <f t="shared" ref="N10:N13" si="2">+I10+K10+J10+M10</f>
        <v>0</v>
      </c>
      <c r="O10" s="171"/>
      <c r="P10" s="180">
        <f>SUMIFS('SWB Variance Input'!$I$10:$I$100,'SWB Variance Input'!$C$10:$C$100,"Faculty Salaries",'SWB Variance Input'!$A$10:$A$100,"OEAcad_RA")</f>
        <v>0</v>
      </c>
    </row>
    <row r="11" spans="1:33" x14ac:dyDescent="0.3">
      <c r="A11" t="s">
        <v>66</v>
      </c>
      <c r="B11" s="54" t="s">
        <v>24</v>
      </c>
      <c r="C11" s="58"/>
      <c r="D11" s="56">
        <f>SUMIFS('SWB Variance Input'!$F$10:$F$100,'SWB Variance Input'!$C$10:$C$100,"Faculty Salaries",'SWB Variance Input'!$A$10:$A$100,"OEAcad_CC")</f>
        <v>0</v>
      </c>
      <c r="E11" s="56"/>
      <c r="F11" s="160">
        <f t="shared" si="0"/>
        <v>0</v>
      </c>
      <c r="G11" s="174">
        <f t="shared" si="1"/>
        <v>0</v>
      </c>
      <c r="H11" s="153"/>
      <c r="I11" s="164">
        <f>SUMIFS('SWB Variance Input'!$F$10:$F$100,'SWB Variance Input'!$C$10:$C$100,"Faculty Salaries",'SWB Variance Input'!$A$10:$A$100,"OEAcad_CC",'SWB Variance Input'!$E$10:$E$100,"Incentives")</f>
        <v>0</v>
      </c>
      <c r="J11" s="153">
        <f>SUMIFS('SWB Variance Input'!$F$10:$F$100,'SWB Variance Input'!$C$10:$C$100,"Faculty Salaries",'SWB Variance Input'!$A$10:$A$100,"OEAcad_CC",'SWB Variance Input'!$E$10:$E$100,"Market")</f>
        <v>0</v>
      </c>
      <c r="K11" s="153">
        <f>SUMIFS('SWB Variance Input'!$F$10:$F$100,'SWB Variance Input'!$C$10:$C$100,"Faculty Salaries",'SWB Variance Input'!$A$10:$A$100,"OEAcad_CC",'SWB Variance Input'!$E$10:$E$100,"Net New Providers")</f>
        <v>0</v>
      </c>
      <c r="L11" s="153">
        <f>SUMIFS('SWB Variance Input'!$F$10:$F$100,'SWB Variance Input'!$C$10:$C$100,"Faculty Salaries",'SWB Variance Input'!$A$10:$A$100,"OEAcad_CC",'SWB Variance Input'!$E$10:$E$100,"Operating Entity Shift")</f>
        <v>0</v>
      </c>
      <c r="M11" s="153">
        <f>SUMIFS('SWB Variance Input'!$F$10:$F$100,'SWB Variance Input'!$C$10:$C$100,"Faculty Salaries",'SWB Variance Input'!$A$10:$A$100,"OEAcad_CC",'SWB Variance Input'!$E$10:$E$100,"Other")</f>
        <v>0</v>
      </c>
      <c r="N11" s="175">
        <f t="shared" si="2"/>
        <v>0</v>
      </c>
      <c r="O11" s="171"/>
      <c r="P11" s="180">
        <f>SUMIFS('SWB Variance Input'!$I$10:$I$100,'SWB Variance Input'!$C$10:$C$100,"Faculty Salaries",'SWB Variance Input'!$A$10:$A$100,"OEAcad_CC")</f>
        <v>0</v>
      </c>
    </row>
    <row r="12" spans="1:33" x14ac:dyDescent="0.3">
      <c r="A12" t="s">
        <v>67</v>
      </c>
      <c r="B12" s="54" t="s">
        <v>24</v>
      </c>
      <c r="C12" s="58"/>
      <c r="D12" s="56">
        <f>SUMIFS('SWB Variance Input'!$F$10:$F$100,'SWB Variance Input'!$C$10:$C$100,"Faculty Salaries",'SWB Variance Input'!$A$10:$A$100,"OEAcad_Edu")</f>
        <v>0</v>
      </c>
      <c r="E12" s="56"/>
      <c r="F12" s="160">
        <f t="shared" si="0"/>
        <v>0</v>
      </c>
      <c r="G12" s="174">
        <f t="shared" si="1"/>
        <v>0</v>
      </c>
      <c r="H12" s="153"/>
      <c r="I12" s="164">
        <f>SUMIFS('SWB Variance Input'!$F$10:$F$100,'SWB Variance Input'!$C$10:$C$100,"Faculty Salaries",'SWB Variance Input'!$A$10:$A$100,"OEAcad_Edu",'SWB Variance Input'!$E$10:$E$100,"Incentives")</f>
        <v>0</v>
      </c>
      <c r="J12" s="153">
        <f>SUMIFS('SWB Variance Input'!$F$10:$F$100,'SWB Variance Input'!$C$10:$C$100,"Faculty Salaries",'SWB Variance Input'!$A$10:$A$100,"OEAcad_Edu",'SWB Variance Input'!$E$10:$E$100,"Market")</f>
        <v>0</v>
      </c>
      <c r="K12" s="153">
        <f>SUMIFS('SWB Variance Input'!$F$10:$F$100,'SWB Variance Input'!$C$10:$C$100,"Faculty Salaries",'SWB Variance Input'!$A$10:$A$100,"OEAcad_Edu",'SWB Variance Input'!$E$10:$E$100,"Net New Providers")</f>
        <v>0</v>
      </c>
      <c r="L12" s="153">
        <f>SUMIFS('SWB Variance Input'!$F$10:$F$100,'SWB Variance Input'!$C$10:$C$100,"Faculty Salaries",'SWB Variance Input'!$A$10:$A$100,"OEAcad_Edu",'SWB Variance Input'!$E$10:$E$100,"Operating Entity Shift")</f>
        <v>0</v>
      </c>
      <c r="M12" s="153">
        <f>SUMIFS('SWB Variance Input'!$F$10:$F$100,'SWB Variance Input'!$C$10:$C$100,"Faculty Salaries",'SWB Variance Input'!$A$10:$A$100,"OEAcad_Edu",'SWB Variance Input'!$E$10:$E$100,"Other")</f>
        <v>0</v>
      </c>
      <c r="N12" s="175">
        <f t="shared" si="2"/>
        <v>0</v>
      </c>
      <c r="O12" s="171"/>
      <c r="P12" s="180">
        <f>SUMIFS('SWB Variance Input'!$I$10:$I$100,'SWB Variance Input'!$C$10:$C$100,"Faculty Salaries",'SWB Variance Input'!$A$10:$A$100,"OEAcad_Edu")</f>
        <v>0</v>
      </c>
    </row>
    <row r="13" spans="1:33" x14ac:dyDescent="0.3">
      <c r="A13" t="s">
        <v>68</v>
      </c>
      <c r="B13" s="54" t="s">
        <v>24</v>
      </c>
      <c r="C13" s="58"/>
      <c r="D13" s="56">
        <f>SUMIFS('SWB Variance Input'!$F$10:$F$100,'SWB Variance Input'!$C$10:$C$100,"Faculty Salaries",'SWB Variance Input'!$A$10:$A$100,"OEAcad_GG")</f>
        <v>0</v>
      </c>
      <c r="E13" s="56"/>
      <c r="F13" s="160">
        <f t="shared" si="0"/>
        <v>0</v>
      </c>
      <c r="G13" s="174">
        <f t="shared" si="1"/>
        <v>0</v>
      </c>
      <c r="H13" s="153"/>
      <c r="I13" s="164">
        <f>SUMIFS('SWB Variance Input'!$F$10:$F$100,'SWB Variance Input'!$C$10:$C$100,"Faculty Salaries",'SWB Variance Input'!$A$10:$A$100,"OEAcad_GG",'SWB Variance Input'!$E$10:$E$100,"Incentives")</f>
        <v>0</v>
      </c>
      <c r="J13" s="153">
        <f>SUMIFS('SWB Variance Input'!$F$10:$F$100,'SWB Variance Input'!$C$10:$C$100,"Faculty Salaries",'SWB Variance Input'!$A$10:$A$100,"OEAcad_GG",'SWB Variance Input'!$E$10:$E$100,"Market")</f>
        <v>0</v>
      </c>
      <c r="K13" s="153">
        <f>SUMIFS('SWB Variance Input'!$F$10:$F$100,'SWB Variance Input'!$C$10:$C$100,"Faculty Salaries",'SWB Variance Input'!$A$10:$A$100,"OEAcad_GG",'SWB Variance Input'!$E$10:$E$100,"Net New Providers")</f>
        <v>0</v>
      </c>
      <c r="L13" s="153">
        <f>SUMIFS('SWB Variance Input'!$F$10:$F$100,'SWB Variance Input'!$C$10:$C$100,"Faculty Salaries",'SWB Variance Input'!$A$10:$A$100,"OEAcad_GG",'SWB Variance Input'!$E$10:$E$100,"Operating Entity Shift")</f>
        <v>0</v>
      </c>
      <c r="M13" s="153">
        <f>SUMIFS('SWB Variance Input'!$F$10:$F$100,'SWB Variance Input'!$C$10:$C$100,"Faculty Salaries",'SWB Variance Input'!$A$10:$A$100,"OEAcad_GG",'SWB Variance Input'!$E$10:$E$100,"Other")</f>
        <v>0</v>
      </c>
      <c r="N13" s="175">
        <f t="shared" si="2"/>
        <v>0</v>
      </c>
      <c r="O13" s="171"/>
      <c r="P13" s="180">
        <f>SUMIFS('SWB Variance Input'!$I$10:$I$100,'SWB Variance Input'!$C$10:$C$100,"Faculty Salaries",'SWB Variance Input'!$A$10:$A$100,"OEAcad_GG")</f>
        <v>0</v>
      </c>
    </row>
    <row r="14" spans="1:33" x14ac:dyDescent="0.3">
      <c r="B14" s="54"/>
      <c r="D14" s="176"/>
      <c r="E14" s="176"/>
      <c r="F14" s="99"/>
      <c r="G14" s="123"/>
      <c r="H14" s="99"/>
      <c r="I14" s="164"/>
      <c r="J14" s="153"/>
      <c r="K14" s="153"/>
      <c r="L14" s="153"/>
      <c r="M14" s="153"/>
      <c r="N14" s="175"/>
      <c r="O14" s="171"/>
      <c r="P14" s="180"/>
    </row>
    <row r="15" spans="1:33" x14ac:dyDescent="0.3">
      <c r="A15" t="s">
        <v>62</v>
      </c>
      <c r="B15" s="54" t="s">
        <v>23</v>
      </c>
      <c r="C15" s="58"/>
      <c r="D15" s="56">
        <f>SUMIFS('SWB Variance Input'!$F$10:$F$100,'SWB Variance Input'!$C$10:$C$100,"Staff Salaries",'SWB Variance Input'!$A$10:$A$100,"OEClin_RA")</f>
        <v>0</v>
      </c>
      <c r="E15" s="56"/>
      <c r="F15" s="160">
        <f t="shared" ref="F15:F21" si="3">IFERROR(-G15/E15,0)</f>
        <v>0</v>
      </c>
      <c r="G15" s="174">
        <f t="shared" ref="G15:G21" si="4">+E15-D15</f>
        <v>0</v>
      </c>
      <c r="H15" s="153"/>
      <c r="I15" s="164">
        <f>SUMIFS('SWB Variance Input'!$F$10:$F$100,'SWB Variance Input'!$C$10:$C$100,"Staff Salaries",'SWB Variance Input'!$A$10:$A$100,"OEClin_RA",'SWB Variance Input'!$E$10:$E$100,"Incentives")</f>
        <v>0</v>
      </c>
      <c r="J15" s="153">
        <f>SUMIFS('SWB Variance Input'!$F$10:$F$100,'SWB Variance Input'!$C$10:$C$100,"Staff Salaries",'SWB Variance Input'!$A$10:$A$100,"OEClin_RA",'SWB Variance Input'!$E$10:$E$100,"Market")</f>
        <v>0</v>
      </c>
      <c r="K15" s="153">
        <f>SUMIFS('SWB Variance Input'!$F$10:$F$100,'SWB Variance Input'!$C$10:$C$100,"Staff Salaries",'SWB Variance Input'!$A$10:$A$100,"OEClin_RA",'SWB Variance Input'!$E$10:$E$100,"Net New Providers")</f>
        <v>0</v>
      </c>
      <c r="L15" s="153">
        <f>SUMIFS('SWB Variance Input'!$F$10:$F$100,'SWB Variance Input'!$C$10:$C$100,"Staff Salaries",'SWB Variance Input'!$A$10:$A$100,"OEClin_RA",'SWB Variance Input'!$E$10:$E$100,"Operating Entity Shift")</f>
        <v>0</v>
      </c>
      <c r="M15" s="153">
        <f>SUMIFS('SWB Variance Input'!$F$10:$F$100,'SWB Variance Input'!$C$10:$C$100,"Staff Salaries",'SWB Variance Input'!$A$10:$A$100,"OEClin_RA",'SWB Variance Input'!$E$10:$E$100,"Other")</f>
        <v>0</v>
      </c>
      <c r="N15" s="175">
        <f t="shared" ref="N15:N21" si="5">+I15+K15+J15+M15</f>
        <v>0</v>
      </c>
      <c r="O15" s="171"/>
      <c r="P15" s="180">
        <f>SUMIFS('SWB Variance Input'!$I$10:$I$100,'SWB Variance Input'!$C$10:$C$100,"Staff Salaries",'SWB Variance Input'!$A$10:$A$100,"OEClin_RA")</f>
        <v>0</v>
      </c>
      <c r="S15" s="52"/>
    </row>
    <row r="16" spans="1:33" x14ac:dyDescent="0.3">
      <c r="A16" t="s">
        <v>63</v>
      </c>
      <c r="B16" s="54" t="s">
        <v>23</v>
      </c>
      <c r="C16" s="58"/>
      <c r="D16" s="56">
        <f>SUMIFS('SWB Variance Input'!$F$10:$F$100,'SWB Variance Input'!$C$10:$C$100,"Staff Salaries",'SWB Variance Input'!$A$10:$A$100,"OEClin_VMG")</f>
        <v>0</v>
      </c>
      <c r="E16" s="56"/>
      <c r="F16" s="160">
        <f t="shared" si="3"/>
        <v>0</v>
      </c>
      <c r="G16" s="174">
        <f t="shared" si="4"/>
        <v>0</v>
      </c>
      <c r="H16" s="153"/>
      <c r="I16" s="164">
        <f>SUMIFS('SWB Variance Input'!$F$10:$F$100,'SWB Variance Input'!$C$10:$C$100,"Staff Salaries",'SWB Variance Input'!$A$10:$A$100,"OEClin_VMG",'SWB Variance Input'!$E$10:$E$100,"Incentives")</f>
        <v>0</v>
      </c>
      <c r="J16" s="153">
        <f>SUMIFS('SWB Variance Input'!$F$10:$F$100,'SWB Variance Input'!$C$10:$C$100,"Staff Salaries",'SWB Variance Input'!$A$10:$A$100,"OEClin_VMG",'SWB Variance Input'!$E$10:$E$100,"Market")</f>
        <v>0</v>
      </c>
      <c r="K16" s="153">
        <f>SUMIFS('SWB Variance Input'!$F$10:$F$100,'SWB Variance Input'!$C$10:$C$100,"Staff Salaries",'SWB Variance Input'!$A$10:$A$100,"OEClin_VMG",'SWB Variance Input'!$E$10:$E$100,"Net New Providers")</f>
        <v>0</v>
      </c>
      <c r="L16" s="153">
        <f>SUMIFS('SWB Variance Input'!$F$10:$F$100,'SWB Variance Input'!$C$10:$C$100,"Staff Salaries",'SWB Variance Input'!$A$10:$A$100,"OEClin_VMG",'SWB Variance Input'!$E$10:$E$100,"Operating Entity Shift")</f>
        <v>0</v>
      </c>
      <c r="M16" s="153">
        <f>SUMIFS('SWB Variance Input'!$F$10:$F$100,'SWB Variance Input'!$C$10:$C$100,"Staff Salaries",'SWB Variance Input'!$A$10:$A$100,"OEClin_VMG",'SWB Variance Input'!$E$10:$E$100,"Other")</f>
        <v>0</v>
      </c>
      <c r="N16" s="175">
        <f t="shared" si="5"/>
        <v>0</v>
      </c>
      <c r="O16" s="171"/>
      <c r="P16" s="180">
        <f>SUMIFS('SWB Variance Input'!$I$10:$I$100,'SWB Variance Input'!$C$10:$C$100,"Staff Salaries",'SWB Variance Input'!$A$10:$A$100,"OEClin_VMG")</f>
        <v>0</v>
      </c>
    </row>
    <row r="17" spans="1:16" x14ac:dyDescent="0.3">
      <c r="A17" t="s">
        <v>64</v>
      </c>
      <c r="B17" s="54" t="s">
        <v>23</v>
      </c>
      <c r="C17" s="58"/>
      <c r="D17" s="56">
        <f>SUMIFS('SWB Variance Input'!$F$10:$F$100,'SWB Variance Input'!$C$10:$C$100,"Staff Salaries",'SWB Variance Input'!$A$10:$A$100,"OEClin_Edu")</f>
        <v>0</v>
      </c>
      <c r="E17" s="56"/>
      <c r="F17" s="160">
        <f t="shared" si="3"/>
        <v>0</v>
      </c>
      <c r="G17" s="174">
        <f t="shared" si="4"/>
        <v>0</v>
      </c>
      <c r="H17" s="153"/>
      <c r="I17" s="164">
        <f>SUMIFS('SWB Variance Input'!$F$10:$F$100,'SWB Variance Input'!$C$10:$C$100,"Staff Salaries",'SWB Variance Input'!$A$10:$A$100,"OEClin_Edu",'SWB Variance Input'!$E$10:$E$100,"Incentives")</f>
        <v>0</v>
      </c>
      <c r="J17" s="153">
        <f>SUMIFS('SWB Variance Input'!$F$10:$F$100,'SWB Variance Input'!$C$10:$C$100,"Staff Salaries",'SWB Variance Input'!$A$10:$A$100,"OEClin_Edu",'SWB Variance Input'!$E$10:$E$100,"Market")</f>
        <v>0</v>
      </c>
      <c r="K17" s="153">
        <f>SUMIFS('SWB Variance Input'!$F$10:$F$100,'SWB Variance Input'!$C$10:$C$100,"Staff Salaries",'SWB Variance Input'!$A$10:$A$100,"OEClin_Edu",'SWB Variance Input'!$E$10:$E$100,"Net New Providers")</f>
        <v>0</v>
      </c>
      <c r="L17" s="153">
        <f>SUMIFS('SWB Variance Input'!$F$10:$F$100,'SWB Variance Input'!$C$10:$C$100,"Staff Salaries",'SWB Variance Input'!$A$10:$A$100,"OEClin_Edu",'SWB Variance Input'!$E$10:$E$100,"Operating Entity Shift")</f>
        <v>0</v>
      </c>
      <c r="M17" s="153">
        <f>SUMIFS('SWB Variance Input'!$F$10:$F$100,'SWB Variance Input'!$C$10:$C$100,"Staff Salaries",'SWB Variance Input'!$A$10:$A$100,"OEClin_Edu",'SWB Variance Input'!$E$10:$E$100,"Other")</f>
        <v>0</v>
      </c>
      <c r="N17" s="175">
        <f t="shared" si="5"/>
        <v>0</v>
      </c>
      <c r="O17" s="171"/>
      <c r="P17" s="180">
        <f>SUMIFS('SWB Variance Input'!$I$10:$I$100,'SWB Variance Input'!$C$10:$C$100,"Staff Salaries",'SWB Variance Input'!$A$10:$A$100,"OEClin_Edu")</f>
        <v>0</v>
      </c>
    </row>
    <row r="18" spans="1:16" x14ac:dyDescent="0.3">
      <c r="A18" t="s">
        <v>65</v>
      </c>
      <c r="B18" s="54" t="s">
        <v>23</v>
      </c>
      <c r="C18" s="58"/>
      <c r="D18" s="56">
        <f>SUMIFS('SWB Variance Input'!$F$10:$F$100,'SWB Variance Input'!$C$10:$C$100,"Staff Salaries",'SWB Variance Input'!$A$10:$A$100,"OEAcad_RA")</f>
        <v>0</v>
      </c>
      <c r="E18" s="56"/>
      <c r="F18" s="160">
        <f t="shared" si="3"/>
        <v>0</v>
      </c>
      <c r="G18" s="174">
        <f t="shared" si="4"/>
        <v>0</v>
      </c>
      <c r="H18" s="153"/>
      <c r="I18" s="164">
        <f>SUMIFS('SWB Variance Input'!$F$10:$F$100,'SWB Variance Input'!$C$10:$C$100,"Staff Salaries",'SWB Variance Input'!$A$10:$A$100,"OEAcad_RA",'SWB Variance Input'!$E$10:$E$100,"Incentives")</f>
        <v>0</v>
      </c>
      <c r="J18" s="153">
        <f>SUMIFS('SWB Variance Input'!$F$10:$F$100,'SWB Variance Input'!$C$10:$C$100,"Staff Salaries",'SWB Variance Input'!$A$10:$A$100,"OEAcad_RA",'SWB Variance Input'!$E$10:$E$100,"Market")</f>
        <v>0</v>
      </c>
      <c r="K18" s="153">
        <f>SUMIFS('SWB Variance Input'!$F$10:$F$100,'SWB Variance Input'!$C$10:$C$100,"Staff Salaries",'SWB Variance Input'!$A$10:$A$100,"OEAcad_RA",'SWB Variance Input'!$E$10:$E$100,"Net New Providers")</f>
        <v>0</v>
      </c>
      <c r="L18" s="153">
        <f>SUMIFS('SWB Variance Input'!$F$10:$F$100,'SWB Variance Input'!$C$10:$C$100,"Staff Salaries",'SWB Variance Input'!$A$10:$A$100,"OEAcad_RA",'SWB Variance Input'!$E$10:$E$100,"Operating Entity Shift")</f>
        <v>0</v>
      </c>
      <c r="M18" s="153">
        <f>SUMIFS('SWB Variance Input'!$F$10:$F$100,'SWB Variance Input'!$C$10:$C$100,"Staff Salaries",'SWB Variance Input'!$A$10:$A$100,"OEAcad_RA",'SWB Variance Input'!$E$10:$E$100,"Other")</f>
        <v>0</v>
      </c>
      <c r="N18" s="175">
        <f t="shared" si="5"/>
        <v>0</v>
      </c>
      <c r="O18" s="171"/>
      <c r="P18" s="180">
        <f>SUMIFS('SWB Variance Input'!$I$10:$I$100,'SWB Variance Input'!$C$10:$C$100,"Staff Salaries",'SWB Variance Input'!$A$10:$A$100,"OEAcad_RA")</f>
        <v>0</v>
      </c>
    </row>
    <row r="19" spans="1:16" x14ac:dyDescent="0.3">
      <c r="A19" t="s">
        <v>66</v>
      </c>
      <c r="B19" s="54" t="s">
        <v>23</v>
      </c>
      <c r="C19" s="58"/>
      <c r="D19" s="56">
        <f>SUMIFS('SWB Variance Input'!$F$10:$F$100,'SWB Variance Input'!$C$10:$C$100,"Staff Salaries",'SWB Variance Input'!$A$10:$A$100,"OEAcad_CC")</f>
        <v>0</v>
      </c>
      <c r="E19" s="56"/>
      <c r="F19" s="160">
        <f t="shared" si="3"/>
        <v>0</v>
      </c>
      <c r="G19" s="174">
        <f t="shared" si="4"/>
        <v>0</v>
      </c>
      <c r="H19" s="153"/>
      <c r="I19" s="164">
        <f>SUMIFS('SWB Variance Input'!$F$10:$F$100,'SWB Variance Input'!$C$10:$C$100,"Staff Salaries",'SWB Variance Input'!$A$10:$A$100,"OEAcad_CC",'SWB Variance Input'!$E$10:$E$100,"Incentives")</f>
        <v>0</v>
      </c>
      <c r="J19" s="153">
        <f>SUMIFS('SWB Variance Input'!$F$10:$F$100,'SWB Variance Input'!$C$10:$C$100,"Staff Salaries",'SWB Variance Input'!$A$10:$A$100,"OEAcad_CC",'SWB Variance Input'!$E$10:$E$100,"Market")</f>
        <v>0</v>
      </c>
      <c r="K19" s="153">
        <f>SUMIFS('SWB Variance Input'!$F$10:$F$100,'SWB Variance Input'!$C$10:$C$100,"Staff Salaries",'SWB Variance Input'!$A$10:$A$100,"OEAcad_CC",'SWB Variance Input'!$E$10:$E$100,"Net New Providers")</f>
        <v>0</v>
      </c>
      <c r="L19" s="153">
        <f>SUMIFS('SWB Variance Input'!$F$10:$F$100,'SWB Variance Input'!$C$10:$C$100,"Staff Salaries",'SWB Variance Input'!$A$10:$A$100,"OEAcad_CC",'SWB Variance Input'!$E$10:$E$100,"Operating Entity Shift")</f>
        <v>0</v>
      </c>
      <c r="M19" s="153">
        <f>SUMIFS('SWB Variance Input'!$F$10:$F$100,'SWB Variance Input'!$C$10:$C$100,"Staff Salaries",'SWB Variance Input'!$A$10:$A$100,"OEAcad_CC",'SWB Variance Input'!$E$10:$E$100,"Other")</f>
        <v>0</v>
      </c>
      <c r="N19" s="175">
        <f t="shared" si="5"/>
        <v>0</v>
      </c>
      <c r="O19" s="171"/>
      <c r="P19" s="180">
        <f>SUMIFS('SWB Variance Input'!$I$10:$I$100,'SWB Variance Input'!$C$10:$C$100,"Staff Salaries",'SWB Variance Input'!$A$10:$A$100,"OEAcad_CC")</f>
        <v>0</v>
      </c>
    </row>
    <row r="20" spans="1:16" x14ac:dyDescent="0.3">
      <c r="A20" t="s">
        <v>67</v>
      </c>
      <c r="B20" s="54" t="s">
        <v>23</v>
      </c>
      <c r="C20" s="58"/>
      <c r="D20" s="56">
        <f>SUMIFS('SWB Variance Input'!$F$10:$F$100,'SWB Variance Input'!$C$10:$C$100,"Staff Salaries",'SWB Variance Input'!$A$10:$A$100,"OEAcad_Edu")</f>
        <v>0</v>
      </c>
      <c r="E20" s="56"/>
      <c r="F20" s="160">
        <f t="shared" si="3"/>
        <v>0</v>
      </c>
      <c r="G20" s="174">
        <f t="shared" si="4"/>
        <v>0</v>
      </c>
      <c r="H20" s="153"/>
      <c r="I20" s="164">
        <f>SUMIFS('SWB Variance Input'!$F$10:$F$100,'SWB Variance Input'!$C$10:$C$100,"Staff Salaries",'SWB Variance Input'!$A$10:$A$100,"OEAcad_Edu",'SWB Variance Input'!$E$10:$E$100,"Incentives")</f>
        <v>0</v>
      </c>
      <c r="J20" s="153">
        <f>SUMIFS('SWB Variance Input'!$F$10:$F$100,'SWB Variance Input'!$C$10:$C$100,"Staff Salaries",'SWB Variance Input'!$A$10:$A$100,"OEAcad_Edu",'SWB Variance Input'!$E$10:$E$100,"Market")</f>
        <v>0</v>
      </c>
      <c r="K20" s="153">
        <f>SUMIFS('SWB Variance Input'!$F$10:$F$100,'SWB Variance Input'!$C$10:$C$100,"Staff Salaries",'SWB Variance Input'!$A$10:$A$100,"OEAcad_Edu",'SWB Variance Input'!$E$10:$E$100,"Net New Providers")</f>
        <v>0</v>
      </c>
      <c r="L20" s="153">
        <f>SUMIFS('SWB Variance Input'!$F$10:$F$100,'SWB Variance Input'!$C$10:$C$100,"Staff Salaries",'SWB Variance Input'!$A$10:$A$100,"OEAcad_Edu",'SWB Variance Input'!$E$10:$E$100,"Operating Entity Shift")</f>
        <v>0</v>
      </c>
      <c r="M20" s="153">
        <f>SUMIFS('SWB Variance Input'!$F$10:$F$100,'SWB Variance Input'!$C$10:$C$100,"Staff Salaries",'SWB Variance Input'!$A$10:$A$100,"OEAcad_Edu",'SWB Variance Input'!$E$10:$E$100,"Other")</f>
        <v>0</v>
      </c>
      <c r="N20" s="175">
        <f t="shared" si="5"/>
        <v>0</v>
      </c>
      <c r="O20" s="171"/>
      <c r="P20" s="180">
        <f>SUMIFS('SWB Variance Input'!$I$10:$I$100,'SWB Variance Input'!$C$10:$C$100,"Staff Salaries",'SWB Variance Input'!$A$10:$A$100,"OEAcad_Edu")</f>
        <v>0</v>
      </c>
    </row>
    <row r="21" spans="1:16" x14ac:dyDescent="0.3">
      <c r="A21" t="s">
        <v>68</v>
      </c>
      <c r="B21" s="54" t="s">
        <v>23</v>
      </c>
      <c r="C21" s="58"/>
      <c r="D21" s="56">
        <f>SUMIFS('SWB Variance Input'!$F$10:$F$100,'SWB Variance Input'!$C$10:$C$100,"Staff Salaries",'SWB Variance Input'!$A$10:$A$100,"OEAcad_GG")</f>
        <v>0</v>
      </c>
      <c r="E21" s="56"/>
      <c r="F21" s="160">
        <f t="shared" si="3"/>
        <v>0</v>
      </c>
      <c r="G21" s="174">
        <f t="shared" si="4"/>
        <v>0</v>
      </c>
      <c r="H21" s="153"/>
      <c r="I21" s="164">
        <f>SUMIFS('SWB Variance Input'!$F$10:$F$100,'SWB Variance Input'!$C$10:$C$100,"Staff Salaries",'SWB Variance Input'!$A$10:$A$100,"OEAcad_GG",'SWB Variance Input'!$E$10:$E$100,"Incentives")</f>
        <v>0</v>
      </c>
      <c r="J21" s="153">
        <f>SUMIFS('SWB Variance Input'!$F$10:$F$100,'SWB Variance Input'!$C$10:$C$100,"Staff Salaries",'SWB Variance Input'!$A$10:$A$100,"OEAcad_GG",'SWB Variance Input'!$E$10:$E$100,"Market")</f>
        <v>0</v>
      </c>
      <c r="K21" s="153">
        <f>SUMIFS('SWB Variance Input'!$F$10:$F$100,'SWB Variance Input'!$C$10:$C$100,"Staff Salaries",'SWB Variance Input'!$A$10:$A$100,"OEAcad_GG",'SWB Variance Input'!$E$10:$E$100,"Net New Providers")</f>
        <v>0</v>
      </c>
      <c r="L21" s="153">
        <f>SUMIFS('SWB Variance Input'!$F$10:$F$100,'SWB Variance Input'!$C$10:$C$100,"Staff Salaries",'SWB Variance Input'!$A$10:$A$100,"OEAcad_GG",'SWB Variance Input'!$E$10:$E$100,"Operating Entity Shift")</f>
        <v>0</v>
      </c>
      <c r="M21" s="153">
        <f>SUMIFS('SWB Variance Input'!$F$10:$F$100,'SWB Variance Input'!$C$10:$C$100,"Staff Salaries",'SWB Variance Input'!$A$10:$A$100,"OEAcad_GG",'SWB Variance Input'!$E$10:$E$100,"Other")</f>
        <v>0</v>
      </c>
      <c r="N21" s="175">
        <f t="shared" si="5"/>
        <v>0</v>
      </c>
      <c r="O21" s="171"/>
      <c r="P21" s="180">
        <f>SUMIFS('SWB Variance Input'!$I$10:$I$100,'SWB Variance Input'!$C$10:$C$100,"Staff Salaries",'SWB Variance Input'!$A$10:$A$100,"OEAcad_GG")</f>
        <v>0</v>
      </c>
    </row>
    <row r="22" spans="1:16" x14ac:dyDescent="0.3">
      <c r="B22" s="54"/>
      <c r="C22" s="54"/>
      <c r="D22" s="176"/>
      <c r="E22" s="176"/>
      <c r="F22" s="99"/>
      <c r="G22" s="123"/>
      <c r="H22" s="99"/>
      <c r="I22" s="164"/>
      <c r="J22" s="153"/>
      <c r="K22" s="153"/>
      <c r="L22" s="153"/>
      <c r="M22" s="153"/>
      <c r="N22" s="175"/>
      <c r="P22" s="181"/>
    </row>
    <row r="23" spans="1:16" x14ac:dyDescent="0.3">
      <c r="A23" t="s">
        <v>62</v>
      </c>
      <c r="B23" s="54" t="s">
        <v>69</v>
      </c>
      <c r="C23" s="58"/>
      <c r="D23" s="56">
        <f>SUMIFS('SWB Variance Input'!$F$10:$F$100,'SWB Variance Input'!$C$10:$C$100,"Fringe Benefits",'SWB Variance Input'!$A$10:$A$100,"OEClin_RA")</f>
        <v>0</v>
      </c>
      <c r="E23" s="56"/>
      <c r="F23" s="160">
        <f t="shared" ref="F23:F29" si="6">IFERROR(-G23/E23,0)</f>
        <v>0</v>
      </c>
      <c r="G23" s="174">
        <f t="shared" ref="G23:G29" si="7">+E23-D23</f>
        <v>0</v>
      </c>
      <c r="H23" s="153"/>
      <c r="I23" s="164">
        <f>SUMIFS('SWB Variance Input'!$F$10:$F$100,'SWB Variance Input'!$C$10:$C$100,"Fringe Benefits",'SWB Variance Input'!$A$10:$A$100,"OEClin_RA",'SWB Variance Input'!$E$10:$E$100,"Incentives")</f>
        <v>0</v>
      </c>
      <c r="J23" s="153">
        <f>SUMIFS('SWB Variance Input'!$F$10:$F$100,'SWB Variance Input'!$C$10:$C$100,"Fringe Benefits",'SWB Variance Input'!$A$10:$A$100,"OEClin_RA",'SWB Variance Input'!$E$10:$E$100,"Market")</f>
        <v>0</v>
      </c>
      <c r="K23" s="153">
        <f>SUMIFS('SWB Variance Input'!$F$10:$F$100,'SWB Variance Input'!$C$10:$C$100,"Fringe Benefits",'SWB Variance Input'!$A$10:$A$100,"OEClin_RA",'SWB Variance Input'!$E$10:$E$100,"Net New Providers")</f>
        <v>0</v>
      </c>
      <c r="L23" s="153">
        <f>SUMIFS('SWB Variance Input'!$F$10:$F$100,'SWB Variance Input'!$C$10:$C$100,"Fringe Benefits",'SWB Variance Input'!$A$10:$A$100,"OEClin_RA",'SWB Variance Input'!$E$10:$E$100,"Operating Entity Shift")</f>
        <v>0</v>
      </c>
      <c r="M23" s="153">
        <f>SUMIFS('SWB Variance Input'!$F$10:$F$100,'SWB Variance Input'!$C$10:$C$100,"Fringe Benefits",'SWB Variance Input'!$A$10:$A$100,"OEClin_RA",'SWB Variance Input'!$E$10:$E$100,"Other")</f>
        <v>0</v>
      </c>
      <c r="N23" s="175">
        <f t="shared" ref="N23:N29" si="8">+I23+K23+J23+M23</f>
        <v>0</v>
      </c>
      <c r="O23" s="171"/>
      <c r="P23" s="180">
        <f>SUMIFS('SWB Variance Input'!$I$10:$I$100,'SWB Variance Input'!$C$10:$C$100,"Fringe Benefits",'SWB Variance Input'!$A$10:$A$100,"OEClin_RA")</f>
        <v>0</v>
      </c>
    </row>
    <row r="24" spans="1:16" x14ac:dyDescent="0.3">
      <c r="A24" t="s">
        <v>63</v>
      </c>
      <c r="B24" s="54" t="s">
        <v>69</v>
      </c>
      <c r="C24" s="58"/>
      <c r="D24" s="56">
        <f>SUMIFS('SWB Variance Input'!$F$10:$F$100,'SWB Variance Input'!$C$10:$C$100,"Fringe Benefits",'SWB Variance Input'!$A$10:$A$100,"OEClin_VMG")</f>
        <v>0</v>
      </c>
      <c r="E24" s="56"/>
      <c r="F24" s="160">
        <f t="shared" si="6"/>
        <v>0</v>
      </c>
      <c r="G24" s="174">
        <f t="shared" si="7"/>
        <v>0</v>
      </c>
      <c r="H24" s="153"/>
      <c r="I24" s="164">
        <f>SUMIFS('SWB Variance Input'!$F$10:$F$100,'SWB Variance Input'!$C$10:$C$100,"Fringe Benefits",'SWB Variance Input'!$A$10:$A$100,"OEClin_VMG",'SWB Variance Input'!$E$10:$E$100,"Incentives")</f>
        <v>0</v>
      </c>
      <c r="J24" s="153">
        <f>SUMIFS('SWB Variance Input'!$F$10:$F$100,'SWB Variance Input'!$C$10:$C$100,"Fringe Benefits",'SWB Variance Input'!$A$10:$A$100,"OEClin_VMG",'SWB Variance Input'!$E$10:$E$100,"Market")</f>
        <v>0</v>
      </c>
      <c r="K24" s="153">
        <f>SUMIFS('SWB Variance Input'!$F$10:$F$100,'SWB Variance Input'!$C$10:$C$100,"Fringe Benefits",'SWB Variance Input'!$A$10:$A$100,"OEClin_VMG",'SWB Variance Input'!$E$10:$E$100,"Net New Providers")</f>
        <v>0</v>
      </c>
      <c r="L24" s="153">
        <f>SUMIFS('SWB Variance Input'!$F$10:$F$100,'SWB Variance Input'!$C$10:$C$100,"Fringe Benefits",'SWB Variance Input'!$A$10:$A$100,"OEClin_VMG",'SWB Variance Input'!$E$10:$E$100,"Operating Entity Shift")</f>
        <v>0</v>
      </c>
      <c r="M24" s="153">
        <f>SUMIFS('SWB Variance Input'!$F$10:$F$100,'SWB Variance Input'!$C$10:$C$100,"Fringe Benefits",'SWB Variance Input'!$A$10:$A$100,"OEClin_VMG",'SWB Variance Input'!$E$10:$E$100,"Other")</f>
        <v>0</v>
      </c>
      <c r="N24" s="175">
        <f t="shared" si="8"/>
        <v>0</v>
      </c>
      <c r="O24" s="171"/>
      <c r="P24" s="180">
        <f>SUMIFS('SWB Variance Input'!$I$10:$I$100,'SWB Variance Input'!$C$10:$C$100,"Fringe Benefits",'SWB Variance Input'!$A$10:$A$100,"OEClin_VMG")</f>
        <v>0</v>
      </c>
    </row>
    <row r="25" spans="1:16" x14ac:dyDescent="0.3">
      <c r="A25" t="s">
        <v>64</v>
      </c>
      <c r="B25" s="54" t="s">
        <v>69</v>
      </c>
      <c r="C25" s="58"/>
      <c r="D25" s="56">
        <f>SUMIFS('SWB Variance Input'!$F$10:$F$100,'SWB Variance Input'!$C$10:$C$100,"Fringe Benefits",'SWB Variance Input'!$A$10:$A$100,"OEClin_Edu")</f>
        <v>0</v>
      </c>
      <c r="E25" s="56"/>
      <c r="F25" s="160">
        <f t="shared" si="6"/>
        <v>0</v>
      </c>
      <c r="G25" s="174">
        <f t="shared" si="7"/>
        <v>0</v>
      </c>
      <c r="H25" s="153"/>
      <c r="I25" s="164">
        <f>SUMIFS('SWB Variance Input'!$F$10:$F$100,'SWB Variance Input'!$C$10:$C$100,"Fringe Benefits",'SWB Variance Input'!$A$10:$A$100,"OEClin_Edu",'SWB Variance Input'!$E$10:$E$100,"Incentives")</f>
        <v>0</v>
      </c>
      <c r="J25" s="153">
        <f>SUMIFS('SWB Variance Input'!$F$10:$F$100,'SWB Variance Input'!$C$10:$C$100,"Fringe Benefits",'SWB Variance Input'!$A$10:$A$100,"OEClin_Edu",'SWB Variance Input'!$E$10:$E$100,"Market")</f>
        <v>0</v>
      </c>
      <c r="K25" s="153">
        <f>SUMIFS('SWB Variance Input'!$F$10:$F$100,'SWB Variance Input'!$C$10:$C$100,"Fringe Benefits",'SWB Variance Input'!$A$10:$A$100,"OEClin_Edu",'SWB Variance Input'!$E$10:$E$100,"Net New Providers")</f>
        <v>0</v>
      </c>
      <c r="L25" s="153">
        <f>SUMIFS('SWB Variance Input'!$F$10:$F$100,'SWB Variance Input'!$C$10:$C$100,"Fringe Benefits",'SWB Variance Input'!$A$10:$A$100,"OEClin_Edu",'SWB Variance Input'!$E$10:$E$100,"Operating Entity Shift")</f>
        <v>0</v>
      </c>
      <c r="M25" s="153">
        <f>SUMIFS('SWB Variance Input'!$F$10:$F$100,'SWB Variance Input'!$C$10:$C$100,"Fringe Benefits",'SWB Variance Input'!$A$10:$A$100,"OEClin_Edu",'SWB Variance Input'!$E$10:$E$100,"Other")</f>
        <v>0</v>
      </c>
      <c r="N25" s="175">
        <f t="shared" si="8"/>
        <v>0</v>
      </c>
      <c r="O25" s="171"/>
      <c r="P25" s="180">
        <f>SUMIFS('SWB Variance Input'!$I$10:$I$100,'SWB Variance Input'!$C$10:$C$100,"Fringe Benefits",'SWB Variance Input'!$A$10:$A$100,"OEClin_Edu")</f>
        <v>0</v>
      </c>
    </row>
    <row r="26" spans="1:16" x14ac:dyDescent="0.3">
      <c r="A26" t="s">
        <v>65</v>
      </c>
      <c r="B26" s="54" t="s">
        <v>69</v>
      </c>
      <c r="C26" s="58"/>
      <c r="D26" s="56">
        <f>SUMIFS('SWB Variance Input'!$F$10:$F$100,'SWB Variance Input'!$C$10:$C$100,"Fringe Benefits",'SWB Variance Input'!$A$10:$A$100,"OEAcad_RA")</f>
        <v>0</v>
      </c>
      <c r="E26" s="56"/>
      <c r="F26" s="160">
        <f t="shared" si="6"/>
        <v>0</v>
      </c>
      <c r="G26" s="174">
        <f t="shared" si="7"/>
        <v>0</v>
      </c>
      <c r="H26" s="153"/>
      <c r="I26" s="164">
        <f>SUMIFS('SWB Variance Input'!$F$10:$F$100,'SWB Variance Input'!$C$10:$C$100,"Fringe Benefits",'SWB Variance Input'!$A$10:$A$100,"OEAcad_RA",'SWB Variance Input'!$E$10:$E$100,"Incentives")</f>
        <v>0</v>
      </c>
      <c r="J26" s="153">
        <f>SUMIFS('SWB Variance Input'!$F$10:$F$100,'SWB Variance Input'!$C$10:$C$100,"Fringe Benefits",'SWB Variance Input'!$A$10:$A$100,"OEAcad_RA",'SWB Variance Input'!$E$10:$E$100,"Market")</f>
        <v>0</v>
      </c>
      <c r="K26" s="153">
        <f>SUMIFS('SWB Variance Input'!$F$10:$F$100,'SWB Variance Input'!$C$10:$C$100,"Fringe Benefits",'SWB Variance Input'!$A$10:$A$100,"OEAcad_RA",'SWB Variance Input'!$E$10:$E$100,"Net New Providers")</f>
        <v>0</v>
      </c>
      <c r="L26" s="153">
        <f>SUMIFS('SWB Variance Input'!$F$10:$F$100,'SWB Variance Input'!$C$10:$C$100,"Fringe Benefits",'SWB Variance Input'!$A$10:$A$100,"OEAcad_RA",'SWB Variance Input'!$E$10:$E$100,"Operating Entity Shift")</f>
        <v>0</v>
      </c>
      <c r="M26" s="153">
        <f>SUMIFS('SWB Variance Input'!$F$10:$F$100,'SWB Variance Input'!$C$10:$C$100,"Fringe Benefits",'SWB Variance Input'!$A$10:$A$100,"OEAcad_RA",'SWB Variance Input'!$E$10:$E$100,"Other")</f>
        <v>0</v>
      </c>
      <c r="N26" s="175">
        <f t="shared" si="8"/>
        <v>0</v>
      </c>
      <c r="O26" s="171"/>
      <c r="P26" s="180">
        <f>SUMIFS('SWB Variance Input'!$I$10:$I$100,'SWB Variance Input'!$C$10:$C$100,"Fringe Benefits",'SWB Variance Input'!$A$10:$A$100,"OEAcad_RA")</f>
        <v>0</v>
      </c>
    </row>
    <row r="27" spans="1:16" x14ac:dyDescent="0.3">
      <c r="A27" t="s">
        <v>66</v>
      </c>
      <c r="B27" s="54" t="s">
        <v>69</v>
      </c>
      <c r="C27" s="58"/>
      <c r="D27" s="56">
        <f>SUMIFS('SWB Variance Input'!$F$10:$F$100,'SWB Variance Input'!$C$10:$C$100,"Fringe Benefits",'SWB Variance Input'!$A$10:$A$100,"OEAcad_CC")</f>
        <v>0</v>
      </c>
      <c r="E27" s="56"/>
      <c r="F27" s="160">
        <f t="shared" si="6"/>
        <v>0</v>
      </c>
      <c r="G27" s="174">
        <f t="shared" si="7"/>
        <v>0</v>
      </c>
      <c r="H27" s="153"/>
      <c r="I27" s="164">
        <f>SUMIFS('SWB Variance Input'!$F$10:$F$100,'SWB Variance Input'!$C$10:$C$100,"Fringe Benefits",'SWB Variance Input'!$A$10:$A$100,"OEAcad_CC",'SWB Variance Input'!$E$10:$E$100,"Incentives")</f>
        <v>0</v>
      </c>
      <c r="J27" s="153">
        <f>SUMIFS('SWB Variance Input'!$F$10:$F$100,'SWB Variance Input'!$C$10:$C$100,"Fringe Benefits",'SWB Variance Input'!$A$10:$A$100,"OEAcad_CC",'SWB Variance Input'!$E$10:$E$100,"Market")</f>
        <v>0</v>
      </c>
      <c r="K27" s="153">
        <f>SUMIFS('SWB Variance Input'!$F$10:$F$100,'SWB Variance Input'!$C$10:$C$100,"Fringe Benefits",'SWB Variance Input'!$A$10:$A$100,"OEAcad_CC",'SWB Variance Input'!$E$10:$E$100,"Net New Providers")</f>
        <v>0</v>
      </c>
      <c r="L27" s="153">
        <f>SUMIFS('SWB Variance Input'!$F$10:$F$100,'SWB Variance Input'!$C$10:$C$100,"Fringe Benefits",'SWB Variance Input'!$A$10:$A$100,"OEAcad_CC",'SWB Variance Input'!$E$10:$E$100,"Operating Entity Shift")</f>
        <v>0</v>
      </c>
      <c r="M27" s="153">
        <f>SUMIFS('SWB Variance Input'!$F$10:$F$100,'SWB Variance Input'!$C$10:$C$100,"Fringe Benefits",'SWB Variance Input'!$A$10:$A$100,"OEAcad_CC",'SWB Variance Input'!$E$10:$E$100,"Other")</f>
        <v>0</v>
      </c>
      <c r="N27" s="175">
        <f t="shared" si="8"/>
        <v>0</v>
      </c>
      <c r="O27" s="171"/>
      <c r="P27" s="180">
        <f>SUMIFS('SWB Variance Input'!$I$10:$I$100,'SWB Variance Input'!$C$10:$C$100,"Fringe Benefits",'SWB Variance Input'!$A$10:$A$100,"OEAcad_CC")</f>
        <v>0</v>
      </c>
    </row>
    <row r="28" spans="1:16" x14ac:dyDescent="0.3">
      <c r="A28" t="s">
        <v>67</v>
      </c>
      <c r="B28" s="54" t="s">
        <v>69</v>
      </c>
      <c r="C28" s="58"/>
      <c r="D28" s="56">
        <f>SUMIFS('SWB Variance Input'!$F$10:$F$100,'SWB Variance Input'!$C$10:$C$100,"Fringe Benefits",'SWB Variance Input'!$A$10:$A$100,"OEAcad_Edu")</f>
        <v>0</v>
      </c>
      <c r="E28" s="56"/>
      <c r="F28" s="160">
        <f t="shared" si="6"/>
        <v>0</v>
      </c>
      <c r="G28" s="174">
        <f t="shared" si="7"/>
        <v>0</v>
      </c>
      <c r="H28" s="153"/>
      <c r="I28" s="164">
        <f>SUMIFS('SWB Variance Input'!$F$10:$F$100,'SWB Variance Input'!$C$10:$C$100,"Fringe Benefits",'SWB Variance Input'!$A$10:$A$100,"OEAcad_Edu",'SWB Variance Input'!$E$10:$E$100,"Incentives")</f>
        <v>0</v>
      </c>
      <c r="J28" s="153">
        <f>SUMIFS('SWB Variance Input'!$F$10:$F$100,'SWB Variance Input'!$C$10:$C$100,"Fringe Benefits",'SWB Variance Input'!$A$10:$A$100,"OEAcad_Edu",'SWB Variance Input'!$E$10:$E$100,"Market")</f>
        <v>0</v>
      </c>
      <c r="K28" s="153">
        <f>SUMIFS('SWB Variance Input'!$F$10:$F$100,'SWB Variance Input'!$C$10:$C$100,"Fringe Benefits",'SWB Variance Input'!$A$10:$A$100,"OEAcad_Edu",'SWB Variance Input'!$E$10:$E$100,"Net New Providers")</f>
        <v>0</v>
      </c>
      <c r="L28" s="153">
        <f>SUMIFS('SWB Variance Input'!$F$10:$F$100,'SWB Variance Input'!$C$10:$C$100,"Fringe Benefits",'SWB Variance Input'!$A$10:$A$100,"OEAcad_Edu",'SWB Variance Input'!$E$10:$E$100,"Operating Entity Shift")</f>
        <v>0</v>
      </c>
      <c r="M28" s="153">
        <f>SUMIFS('SWB Variance Input'!$F$10:$F$100,'SWB Variance Input'!$C$10:$C$100,"Fringe Benefits",'SWB Variance Input'!$A$10:$A$100,"OEAcad_Edu",'SWB Variance Input'!$E$10:$E$100,"Other")</f>
        <v>0</v>
      </c>
      <c r="N28" s="175">
        <f t="shared" si="8"/>
        <v>0</v>
      </c>
      <c r="O28" s="171"/>
      <c r="P28" s="180">
        <f>SUMIFS('SWB Variance Input'!$I$10:$I$100,'SWB Variance Input'!$C$10:$C$100,"Fringe Benefits",'SWB Variance Input'!$A$10:$A$100,"OEAcad_Edu")</f>
        <v>0</v>
      </c>
    </row>
    <row r="29" spans="1:16" x14ac:dyDescent="0.3">
      <c r="A29" t="s">
        <v>68</v>
      </c>
      <c r="B29" s="54" t="s">
        <v>69</v>
      </c>
      <c r="C29" s="58"/>
      <c r="D29" s="177">
        <f>SUMIFS('SWB Variance Input'!$F$10:$F$100,'SWB Variance Input'!$C$10:$C$100,"Fringe Benefits",'SWB Variance Input'!$A$10:$A$100,"OEAcad_GG")</f>
        <v>0</v>
      </c>
      <c r="E29" s="177"/>
      <c r="F29" s="161">
        <f t="shared" si="6"/>
        <v>0</v>
      </c>
      <c r="G29" s="178">
        <f t="shared" si="7"/>
        <v>0</v>
      </c>
      <c r="H29" s="153"/>
      <c r="I29" s="165">
        <f>SUMIFS('SWB Variance Input'!$F$10:$F$100,'SWB Variance Input'!$C$10:$C$100,"Fringe Benefits",'SWB Variance Input'!$A$10:$A$100,"OEAcad_GG",'SWB Variance Input'!$E$10:$E$100,"Incentives")</f>
        <v>0</v>
      </c>
      <c r="J29" s="166">
        <f>SUMIFS('SWB Variance Input'!$F$10:$F$100,'SWB Variance Input'!$C$10:$C$100,"Fringe Benefits",'SWB Variance Input'!$A$10:$A$100,"OEAcad_GG",'SWB Variance Input'!$E$10:$E$100,"Market")</f>
        <v>0</v>
      </c>
      <c r="K29" s="166">
        <f>SUMIFS('SWB Variance Input'!$F$10:$F$100,'SWB Variance Input'!$C$10:$C$100,"Fringe Benefits",'SWB Variance Input'!$A$10:$A$100,"OEAcad_GG",'SWB Variance Input'!$E$10:$E$100,"Net New Providers")</f>
        <v>0</v>
      </c>
      <c r="L29" s="166">
        <f>SUMIFS('SWB Variance Input'!$F$10:$F$100,'SWB Variance Input'!$C$10:$C$100,"Fringe Benefits",'SWB Variance Input'!$A$10:$A$100,"OEAcad_GG",'SWB Variance Input'!$E$10:$E$100,"Operating Entity Shift")</f>
        <v>0</v>
      </c>
      <c r="M29" s="166">
        <f>SUMIFS('SWB Variance Input'!$F$10:$F$100,'SWB Variance Input'!$C$10:$C$100,"Fringe Benefits",'SWB Variance Input'!$A$10:$A$100,"OEAcad_GG",'SWB Variance Input'!$E$10:$E$100,"Other")</f>
        <v>0</v>
      </c>
      <c r="N29" s="179">
        <f t="shared" si="8"/>
        <v>0</v>
      </c>
      <c r="O29" s="171"/>
      <c r="P29" s="180">
        <f>SUMIFS('SWB Variance Input'!$I$10:$I$100,'SWB Variance Input'!$C$10:$C$100,"Fringe Benefits",'SWB Variance Input'!$A$10:$A$100,"OEAcad_GG")</f>
        <v>0</v>
      </c>
    </row>
  </sheetData>
  <mergeCells count="1"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E89E1-3D70-447B-B25B-49A4F1DC6901}">
  <sheetPr>
    <tabColor rgb="FF92D050"/>
  </sheetPr>
  <dimension ref="A1:W100"/>
  <sheetViews>
    <sheetView showGridLines="0" topLeftCell="A6" workbookViewId="0">
      <selection activeCell="F14" sqref="F14"/>
    </sheetView>
  </sheetViews>
  <sheetFormatPr defaultRowHeight="14.4" x14ac:dyDescent="0.3"/>
  <cols>
    <col min="1" max="1" width="21" customWidth="1"/>
    <col min="2" max="2" width="32.21875" customWidth="1"/>
    <col min="3" max="3" width="19.21875" bestFit="1" customWidth="1"/>
    <col min="4" max="4" width="25.21875" customWidth="1"/>
    <col min="5" max="5" width="21.21875" bestFit="1" customWidth="1"/>
    <col min="6" max="6" width="16.77734375" style="104" customWidth="1"/>
    <col min="7" max="7" width="38.77734375" customWidth="1"/>
    <col min="8" max="8" width="30.44140625" customWidth="1"/>
    <col min="9" max="9" width="13.21875" customWidth="1"/>
    <col min="12" max="12" width="22.77734375" customWidth="1"/>
  </cols>
  <sheetData>
    <row r="1" spans="1:23" ht="15.6" x14ac:dyDescent="0.3">
      <c r="A1" s="126" t="s">
        <v>70</v>
      </c>
      <c r="B1" s="59"/>
    </row>
    <row r="2" spans="1:23" x14ac:dyDescent="0.3">
      <c r="A2" s="108" t="s">
        <v>71</v>
      </c>
    </row>
    <row r="3" spans="1:23" x14ac:dyDescent="0.3">
      <c r="A3" s="109" t="s">
        <v>72</v>
      </c>
    </row>
    <row r="4" spans="1:23" x14ac:dyDescent="0.3">
      <c r="A4" s="109" t="s">
        <v>73</v>
      </c>
      <c r="B4" s="125"/>
      <c r="C4" s="125"/>
      <c r="D4" s="125"/>
    </row>
    <row r="5" spans="1:23" x14ac:dyDescent="0.3">
      <c r="A5" s="109" t="s">
        <v>74</v>
      </c>
      <c r="B5" s="109"/>
      <c r="C5" s="109"/>
      <c r="D5" s="109"/>
    </row>
    <row r="6" spans="1:23" x14ac:dyDescent="0.3">
      <c r="A6" s="109"/>
      <c r="B6" s="109"/>
      <c r="C6" s="109"/>
      <c r="D6" s="109"/>
    </row>
    <row r="8" spans="1:23" ht="18.600000000000001" thickBot="1" x14ac:dyDescent="0.4">
      <c r="A8" s="110" t="s">
        <v>75</v>
      </c>
      <c r="B8" s="110" t="s">
        <v>75</v>
      </c>
      <c r="C8" s="110" t="s">
        <v>75</v>
      </c>
      <c r="D8" s="106"/>
      <c r="E8" s="110" t="s">
        <v>75</v>
      </c>
      <c r="F8" s="106"/>
      <c r="G8" s="110" t="s">
        <v>75</v>
      </c>
      <c r="H8" s="107"/>
      <c r="I8" s="107"/>
      <c r="L8" s="144" t="s">
        <v>76</v>
      </c>
      <c r="M8" s="52"/>
    </row>
    <row r="9" spans="1:23" x14ac:dyDescent="0.3">
      <c r="A9" s="105"/>
      <c r="B9" s="105"/>
      <c r="C9" s="105"/>
      <c r="D9" s="106"/>
      <c r="E9" s="105"/>
      <c r="F9" s="106"/>
      <c r="G9" s="105"/>
      <c r="H9" s="107"/>
      <c r="I9" s="107"/>
      <c r="L9" s="137" t="s">
        <v>77</v>
      </c>
      <c r="M9" s="138" t="s">
        <v>78</v>
      </c>
      <c r="N9" s="141"/>
      <c r="O9" s="141"/>
      <c r="P9" s="141"/>
      <c r="Q9" s="141"/>
      <c r="R9" s="141"/>
      <c r="S9" s="141"/>
      <c r="T9" s="141"/>
      <c r="U9" s="141"/>
      <c r="V9" s="141"/>
      <c r="W9" s="142"/>
    </row>
    <row r="10" spans="1:23" ht="15.6" x14ac:dyDescent="0.3">
      <c r="A10" s="113" t="s">
        <v>48</v>
      </c>
      <c r="B10" s="113" t="s">
        <v>79</v>
      </c>
      <c r="C10" s="114" t="s">
        <v>49</v>
      </c>
      <c r="D10" s="114" t="s">
        <v>80</v>
      </c>
      <c r="E10" s="113" t="s">
        <v>81</v>
      </c>
      <c r="F10" s="115" t="s">
        <v>82</v>
      </c>
      <c r="G10" s="113" t="s">
        <v>83</v>
      </c>
      <c r="H10" s="113" t="s">
        <v>84</v>
      </c>
      <c r="I10" s="113" t="s">
        <v>85</v>
      </c>
      <c r="L10" s="140" t="s">
        <v>86</v>
      </c>
      <c r="M10" s="57" t="s">
        <v>87</v>
      </c>
      <c r="N10" s="70"/>
      <c r="O10" s="70"/>
      <c r="P10" s="70"/>
      <c r="Q10" s="70"/>
      <c r="R10" s="70"/>
      <c r="S10" s="70"/>
      <c r="T10" s="70"/>
      <c r="U10" s="70"/>
      <c r="V10" s="70"/>
      <c r="W10" s="143"/>
    </row>
    <row r="11" spans="1:23" s="99" customFormat="1" ht="15.6" x14ac:dyDescent="0.3">
      <c r="A11" s="116" t="s">
        <v>62</v>
      </c>
      <c r="B11" s="116" t="s">
        <v>88</v>
      </c>
      <c r="C11" s="116" t="s">
        <v>24</v>
      </c>
      <c r="D11" s="116" t="s">
        <v>89</v>
      </c>
      <c r="E11" s="116" t="s">
        <v>90</v>
      </c>
      <c r="F11" s="117">
        <v>10000</v>
      </c>
      <c r="G11" s="116" t="s">
        <v>78</v>
      </c>
      <c r="H11" s="116"/>
      <c r="I11" s="116"/>
      <c r="L11" s="139" t="s">
        <v>86</v>
      </c>
      <c r="M11" s="57" t="s">
        <v>91</v>
      </c>
      <c r="N11" s="70"/>
      <c r="O11" s="70"/>
      <c r="P11" s="70"/>
      <c r="Q11" s="70"/>
      <c r="R11" s="70"/>
      <c r="S11" s="70"/>
      <c r="T11" s="70"/>
      <c r="U11" s="70"/>
      <c r="V11" s="70"/>
      <c r="W11" s="143"/>
    </row>
    <row r="12" spans="1:23" ht="15.6" x14ac:dyDescent="0.3">
      <c r="A12" s="116" t="s">
        <v>63</v>
      </c>
      <c r="B12" s="116" t="s">
        <v>88</v>
      </c>
      <c r="C12" s="116" t="s">
        <v>24</v>
      </c>
      <c r="D12" s="116" t="s">
        <v>89</v>
      </c>
      <c r="E12" s="116" t="s">
        <v>86</v>
      </c>
      <c r="F12" s="117">
        <v>250000</v>
      </c>
      <c r="G12" s="116" t="s">
        <v>92</v>
      </c>
      <c r="H12" s="116"/>
      <c r="I12" s="116">
        <v>1</v>
      </c>
      <c r="L12" s="140" t="s">
        <v>86</v>
      </c>
      <c r="M12" s="57" t="s">
        <v>92</v>
      </c>
      <c r="N12" s="70"/>
      <c r="O12" s="70"/>
      <c r="P12" s="70"/>
      <c r="Q12" s="70"/>
      <c r="R12" s="70"/>
      <c r="S12" s="70"/>
      <c r="T12" s="70"/>
      <c r="U12" s="70"/>
      <c r="V12" s="70"/>
      <c r="W12" s="143"/>
    </row>
    <row r="13" spans="1:23" ht="15.6" x14ac:dyDescent="0.3">
      <c r="A13" s="116"/>
      <c r="B13" s="116"/>
      <c r="C13" s="116"/>
      <c r="D13" s="116"/>
      <c r="E13" s="116"/>
      <c r="F13" s="117"/>
      <c r="G13" s="116" t="s">
        <v>107</v>
      </c>
      <c r="H13" s="116"/>
      <c r="I13" s="116"/>
      <c r="L13" s="139" t="s">
        <v>77</v>
      </c>
      <c r="M13" s="57" t="s">
        <v>93</v>
      </c>
      <c r="N13" s="70"/>
      <c r="O13" s="70"/>
      <c r="P13" s="70"/>
      <c r="Q13" s="70"/>
      <c r="R13" s="70"/>
      <c r="S13" s="70"/>
      <c r="T13" s="70"/>
      <c r="U13" s="70"/>
      <c r="V13" s="70"/>
      <c r="W13" s="143"/>
    </row>
    <row r="14" spans="1:23" ht="15.6" x14ac:dyDescent="0.3">
      <c r="A14" s="116"/>
      <c r="B14" s="116"/>
      <c r="C14" s="116"/>
      <c r="D14" s="116"/>
      <c r="E14" s="116"/>
      <c r="F14" s="117"/>
      <c r="G14" s="116"/>
      <c r="H14" s="116"/>
      <c r="I14" s="116"/>
      <c r="L14" s="139" t="s">
        <v>77</v>
      </c>
      <c r="M14" s="57" t="s">
        <v>94</v>
      </c>
      <c r="N14" s="70"/>
      <c r="O14" s="70"/>
      <c r="P14" s="70"/>
      <c r="Q14" s="70"/>
      <c r="R14" s="70"/>
      <c r="S14" s="70"/>
      <c r="T14" s="70"/>
      <c r="U14" s="70"/>
      <c r="V14" s="70"/>
      <c r="W14" s="143"/>
    </row>
    <row r="15" spans="1:23" ht="15.6" x14ac:dyDescent="0.3">
      <c r="A15" s="116"/>
      <c r="B15" s="116"/>
      <c r="C15" s="116"/>
      <c r="D15" s="116"/>
      <c r="E15" s="116"/>
      <c r="F15" s="117"/>
      <c r="G15" s="116"/>
      <c r="H15" s="116"/>
      <c r="I15" s="116"/>
      <c r="L15" s="139" t="s">
        <v>77</v>
      </c>
      <c r="M15" s="57" t="s">
        <v>95</v>
      </c>
      <c r="N15" s="70"/>
      <c r="O15" s="70"/>
      <c r="P15" s="70"/>
      <c r="Q15" s="70"/>
      <c r="R15" s="70"/>
      <c r="S15" s="70"/>
      <c r="T15" s="70"/>
      <c r="U15" s="70"/>
      <c r="V15" s="70"/>
      <c r="W15" s="143"/>
    </row>
    <row r="16" spans="1:23" ht="15.6" x14ac:dyDescent="0.3">
      <c r="A16" s="116"/>
      <c r="B16" s="116"/>
      <c r="C16" s="116"/>
      <c r="D16" s="116"/>
      <c r="E16" s="116"/>
      <c r="F16" s="117"/>
      <c r="G16" s="116"/>
      <c r="H16" s="116"/>
      <c r="I16" s="116"/>
      <c r="L16" s="139" t="s">
        <v>86</v>
      </c>
      <c r="M16" s="57" t="s">
        <v>96</v>
      </c>
      <c r="N16" s="70"/>
      <c r="O16" s="70"/>
      <c r="P16" s="70"/>
      <c r="Q16" s="70"/>
      <c r="R16" s="70"/>
      <c r="S16" s="70"/>
      <c r="T16" s="70"/>
      <c r="U16" s="70"/>
      <c r="V16" s="70"/>
      <c r="W16" s="143"/>
    </row>
    <row r="17" spans="1:23" ht="15.6" x14ac:dyDescent="0.3">
      <c r="A17" s="116"/>
      <c r="B17" s="116"/>
      <c r="C17" s="116"/>
      <c r="D17" s="116"/>
      <c r="E17" s="116"/>
      <c r="F17" s="117"/>
      <c r="G17" s="116"/>
      <c r="H17" s="116"/>
      <c r="I17" s="116"/>
      <c r="L17" s="139" t="s">
        <v>86</v>
      </c>
      <c r="M17" s="57" t="s">
        <v>97</v>
      </c>
      <c r="N17" s="70"/>
      <c r="O17" s="70"/>
      <c r="P17" s="70"/>
      <c r="Q17" s="70"/>
      <c r="R17" s="70"/>
      <c r="S17" s="70"/>
      <c r="T17" s="70"/>
      <c r="U17" s="70"/>
      <c r="V17" s="70"/>
      <c r="W17" s="143"/>
    </row>
    <row r="18" spans="1:23" ht="15.6" x14ac:dyDescent="0.3">
      <c r="A18" s="116"/>
      <c r="B18" s="116"/>
      <c r="C18" s="116"/>
      <c r="D18" s="116"/>
      <c r="E18" s="116"/>
      <c r="F18" s="117"/>
      <c r="G18" s="116"/>
      <c r="H18" s="116"/>
      <c r="I18" s="116"/>
      <c r="L18" s="139" t="s">
        <v>290</v>
      </c>
      <c r="M18" s="57" t="s">
        <v>291</v>
      </c>
      <c r="N18" s="70"/>
      <c r="O18" s="70"/>
      <c r="P18" s="70"/>
      <c r="Q18" s="70"/>
      <c r="R18" s="70"/>
      <c r="S18" s="70"/>
      <c r="T18" s="70"/>
      <c r="U18" s="70"/>
      <c r="V18" s="70"/>
      <c r="W18" s="143"/>
    </row>
    <row r="19" spans="1:23" ht="15.6" x14ac:dyDescent="0.3">
      <c r="A19" s="116"/>
      <c r="B19" s="116"/>
      <c r="C19" s="116"/>
      <c r="D19" s="116"/>
      <c r="E19" s="116"/>
      <c r="F19" s="117"/>
      <c r="G19" s="116"/>
      <c r="H19" s="116"/>
      <c r="I19" s="116"/>
      <c r="L19" s="139" t="s">
        <v>86</v>
      </c>
      <c r="M19" s="57" t="s">
        <v>99</v>
      </c>
      <c r="N19" s="70"/>
      <c r="O19" s="70"/>
      <c r="P19" s="70"/>
      <c r="Q19" s="70"/>
      <c r="R19" s="70"/>
      <c r="S19" s="70"/>
      <c r="T19" s="70"/>
      <c r="U19" s="70"/>
      <c r="V19" s="70"/>
      <c r="W19" s="143"/>
    </row>
    <row r="20" spans="1:23" ht="15.6" x14ac:dyDescent="0.3">
      <c r="A20" s="116"/>
      <c r="B20" s="116"/>
      <c r="C20" s="116"/>
      <c r="D20" s="116"/>
      <c r="E20" s="116"/>
      <c r="F20" s="117"/>
      <c r="G20" s="116"/>
      <c r="H20" s="116"/>
      <c r="I20" s="116"/>
      <c r="L20" s="139" t="s">
        <v>86</v>
      </c>
      <c r="M20" s="57" t="s">
        <v>100</v>
      </c>
      <c r="N20" s="70"/>
      <c r="O20" s="70"/>
      <c r="P20" s="70"/>
      <c r="Q20" s="70"/>
      <c r="R20" s="70"/>
      <c r="S20" s="70"/>
      <c r="T20" s="70"/>
      <c r="U20" s="70"/>
      <c r="V20" s="70"/>
      <c r="W20" s="143"/>
    </row>
    <row r="21" spans="1:23" ht="15.6" x14ac:dyDescent="0.3">
      <c r="A21" s="116"/>
      <c r="B21" s="116"/>
      <c r="C21" s="116"/>
      <c r="D21" s="116"/>
      <c r="E21" s="116"/>
      <c r="F21" s="117"/>
      <c r="G21" s="116"/>
      <c r="H21" s="116"/>
      <c r="I21" s="116"/>
      <c r="L21" s="139" t="s">
        <v>86</v>
      </c>
      <c r="M21" s="57" t="s">
        <v>101</v>
      </c>
      <c r="N21" s="70"/>
      <c r="O21" s="70"/>
      <c r="P21" s="70"/>
      <c r="Q21" s="70"/>
      <c r="R21" s="70"/>
      <c r="S21" s="70"/>
      <c r="T21" s="70"/>
      <c r="U21" s="70"/>
      <c r="V21" s="70"/>
      <c r="W21" s="143"/>
    </row>
    <row r="22" spans="1:23" ht="15.6" x14ac:dyDescent="0.3">
      <c r="A22" s="116"/>
      <c r="B22" s="116"/>
      <c r="C22" s="116"/>
      <c r="D22" s="116"/>
      <c r="E22" s="116"/>
      <c r="F22" s="117"/>
      <c r="G22" s="116"/>
      <c r="H22" s="116"/>
      <c r="I22" s="116"/>
      <c r="L22" s="139" t="s">
        <v>86</v>
      </c>
      <c r="M22" s="57" t="s">
        <v>102</v>
      </c>
      <c r="N22" s="70"/>
      <c r="O22" s="70"/>
      <c r="P22" s="70"/>
      <c r="Q22" s="70"/>
      <c r="R22" s="70"/>
      <c r="S22" s="70"/>
      <c r="T22" s="70"/>
      <c r="U22" s="70"/>
      <c r="V22" s="70"/>
      <c r="W22" s="143"/>
    </row>
    <row r="23" spans="1:23" ht="15.6" x14ac:dyDescent="0.3">
      <c r="A23" s="116"/>
      <c r="B23" s="116"/>
      <c r="C23" s="116"/>
      <c r="D23" s="116"/>
      <c r="E23" s="116"/>
      <c r="F23" s="117"/>
      <c r="G23" s="116"/>
      <c r="H23" s="116"/>
      <c r="I23" s="116"/>
      <c r="L23" s="139" t="s">
        <v>86</v>
      </c>
      <c r="M23" s="57" t="s">
        <v>103</v>
      </c>
      <c r="N23" s="70"/>
      <c r="O23" s="70"/>
      <c r="P23" s="70"/>
      <c r="Q23" s="70"/>
      <c r="R23" s="70"/>
      <c r="S23" s="70"/>
      <c r="T23" s="70"/>
      <c r="U23" s="70"/>
      <c r="V23" s="70"/>
      <c r="W23" s="143"/>
    </row>
    <row r="24" spans="1:23" ht="15.6" x14ac:dyDescent="0.3">
      <c r="A24" s="116"/>
      <c r="B24" s="116"/>
      <c r="C24" s="116"/>
      <c r="D24" s="116"/>
      <c r="E24" s="116"/>
      <c r="F24" s="117"/>
      <c r="G24" s="116"/>
      <c r="H24" s="116"/>
      <c r="I24" s="116"/>
      <c r="L24" s="139" t="s">
        <v>86</v>
      </c>
      <c r="M24" s="57" t="s">
        <v>104</v>
      </c>
      <c r="N24" s="70"/>
      <c r="O24" s="70"/>
      <c r="P24" s="70"/>
      <c r="Q24" s="70"/>
      <c r="R24" s="70"/>
      <c r="S24" s="70"/>
      <c r="T24" s="70"/>
      <c r="U24" s="70"/>
      <c r="V24" s="70"/>
      <c r="W24" s="143"/>
    </row>
    <row r="25" spans="1:23" ht="15.6" x14ac:dyDescent="0.3">
      <c r="A25" s="116"/>
      <c r="B25" s="116"/>
      <c r="C25" s="116"/>
      <c r="D25" s="116"/>
      <c r="E25" s="116"/>
      <c r="F25" s="117"/>
      <c r="G25" s="116"/>
      <c r="H25" s="116"/>
      <c r="I25" s="116"/>
      <c r="L25" s="139" t="s">
        <v>290</v>
      </c>
      <c r="M25" s="57" t="s">
        <v>105</v>
      </c>
      <c r="N25" s="70"/>
      <c r="O25" s="70"/>
      <c r="P25" s="70"/>
      <c r="Q25" s="70"/>
      <c r="R25" s="70"/>
      <c r="S25" s="70"/>
      <c r="T25" s="70"/>
      <c r="U25" s="70"/>
      <c r="V25" s="70"/>
      <c r="W25" s="143"/>
    </row>
    <row r="26" spans="1:23" ht="15.6" x14ac:dyDescent="0.3">
      <c r="A26" s="116"/>
      <c r="B26" s="116"/>
      <c r="C26" s="116"/>
      <c r="D26" s="116"/>
      <c r="E26" s="116"/>
      <c r="F26" s="117"/>
      <c r="G26" s="116"/>
      <c r="H26" s="116"/>
      <c r="I26" s="116"/>
      <c r="L26" s="139" t="s">
        <v>77</v>
      </c>
      <c r="M26" s="57" t="s">
        <v>106</v>
      </c>
      <c r="N26" s="70"/>
      <c r="O26" s="70"/>
      <c r="P26" s="70"/>
      <c r="Q26" s="70"/>
      <c r="R26" s="70"/>
      <c r="S26" s="70"/>
      <c r="T26" s="70"/>
      <c r="U26" s="70"/>
      <c r="V26" s="70"/>
      <c r="W26" s="143"/>
    </row>
    <row r="27" spans="1:23" ht="15.6" x14ac:dyDescent="0.3">
      <c r="A27" s="116"/>
      <c r="B27" s="116"/>
      <c r="C27" s="116"/>
      <c r="D27" s="116"/>
      <c r="E27" s="116"/>
      <c r="F27" s="117"/>
      <c r="G27" s="116"/>
      <c r="H27" s="116"/>
      <c r="I27" s="116"/>
      <c r="L27" s="139"/>
      <c r="M27" s="57" t="s">
        <v>107</v>
      </c>
      <c r="N27" s="70"/>
      <c r="O27" s="70"/>
      <c r="P27" s="70"/>
      <c r="Q27" s="70"/>
      <c r="R27" s="70"/>
      <c r="S27" s="70"/>
      <c r="T27" s="70"/>
      <c r="U27" s="70"/>
      <c r="V27" s="70"/>
      <c r="W27" s="143"/>
    </row>
    <row r="28" spans="1:23" ht="15.6" x14ac:dyDescent="0.3">
      <c r="A28" s="116"/>
      <c r="B28" s="116"/>
      <c r="C28" s="116"/>
      <c r="D28" s="116"/>
      <c r="E28" s="116"/>
      <c r="F28" s="117"/>
      <c r="G28" s="116"/>
      <c r="H28" s="116"/>
      <c r="I28" s="116"/>
    </row>
    <row r="29" spans="1:23" ht="15.6" x14ac:dyDescent="0.3">
      <c r="A29" s="116"/>
      <c r="B29" s="116"/>
      <c r="C29" s="116"/>
      <c r="D29" s="116"/>
      <c r="E29" s="116"/>
      <c r="F29" s="117"/>
      <c r="G29" s="116"/>
      <c r="H29" s="116"/>
      <c r="I29" s="116"/>
    </row>
    <row r="30" spans="1:23" ht="15.6" x14ac:dyDescent="0.3">
      <c r="A30" s="116"/>
      <c r="B30" s="116"/>
      <c r="C30" s="116"/>
      <c r="D30" s="116"/>
      <c r="E30" s="116"/>
      <c r="F30" s="117"/>
      <c r="G30" s="116"/>
      <c r="H30" s="116"/>
      <c r="I30" s="116"/>
    </row>
    <row r="31" spans="1:23" ht="15.6" x14ac:dyDescent="0.3">
      <c r="A31" s="116"/>
      <c r="B31" s="116"/>
      <c r="C31" s="116"/>
      <c r="D31" s="116"/>
      <c r="E31" s="116"/>
      <c r="F31" s="117"/>
      <c r="G31" s="116"/>
      <c r="H31" s="116"/>
      <c r="I31" s="116"/>
    </row>
    <row r="32" spans="1:23" ht="15.6" x14ac:dyDescent="0.3">
      <c r="A32" s="116"/>
      <c r="B32" s="116"/>
      <c r="C32" s="116"/>
      <c r="D32" s="116"/>
      <c r="E32" s="116"/>
      <c r="F32" s="117"/>
      <c r="G32" s="116"/>
      <c r="H32" s="116"/>
      <c r="I32" s="116"/>
    </row>
    <row r="33" spans="1:9" ht="15.6" x14ac:dyDescent="0.3">
      <c r="A33" s="116"/>
      <c r="B33" s="116"/>
      <c r="C33" s="116"/>
      <c r="D33" s="116"/>
      <c r="E33" s="116"/>
      <c r="F33" s="117"/>
      <c r="G33" s="116"/>
      <c r="H33" s="116"/>
      <c r="I33" s="116"/>
    </row>
    <row r="34" spans="1:9" ht="15.6" x14ac:dyDescent="0.3">
      <c r="A34" s="116"/>
      <c r="B34" s="116"/>
      <c r="C34" s="116"/>
      <c r="D34" s="116"/>
      <c r="E34" s="116"/>
      <c r="F34" s="117"/>
      <c r="G34" s="116"/>
      <c r="H34" s="116"/>
      <c r="I34" s="116"/>
    </row>
    <row r="35" spans="1:9" ht="15.6" x14ac:dyDescent="0.3">
      <c r="A35" s="116"/>
      <c r="B35" s="116"/>
      <c r="C35" s="116"/>
      <c r="D35" s="116"/>
      <c r="E35" s="116"/>
      <c r="F35" s="117"/>
      <c r="G35" s="116"/>
      <c r="H35" s="116"/>
      <c r="I35" s="116"/>
    </row>
    <row r="36" spans="1:9" ht="15.6" x14ac:dyDescent="0.3">
      <c r="A36" s="116"/>
      <c r="B36" s="116"/>
      <c r="C36" s="116"/>
      <c r="D36" s="116"/>
      <c r="E36" s="116"/>
      <c r="F36" s="117"/>
      <c r="G36" s="116"/>
      <c r="H36" s="116"/>
      <c r="I36" s="116"/>
    </row>
    <row r="37" spans="1:9" ht="15.6" x14ac:dyDescent="0.3">
      <c r="A37" s="116"/>
      <c r="B37" s="116"/>
      <c r="C37" s="116"/>
      <c r="D37" s="116"/>
      <c r="E37" s="116"/>
      <c r="F37" s="117"/>
      <c r="G37" s="116"/>
      <c r="H37" s="116"/>
      <c r="I37" s="116"/>
    </row>
    <row r="38" spans="1:9" ht="15.6" x14ac:dyDescent="0.3">
      <c r="A38" s="116"/>
      <c r="B38" s="116"/>
      <c r="C38" s="116"/>
      <c r="D38" s="116"/>
      <c r="E38" s="116"/>
      <c r="F38" s="117"/>
      <c r="G38" s="116"/>
      <c r="H38" s="116"/>
      <c r="I38" s="116"/>
    </row>
    <row r="39" spans="1:9" ht="15.6" x14ac:dyDescent="0.3">
      <c r="A39" s="116"/>
      <c r="B39" s="116"/>
      <c r="C39" s="116"/>
      <c r="D39" s="116"/>
      <c r="E39" s="116"/>
      <c r="F39" s="117"/>
      <c r="G39" s="116"/>
      <c r="H39" s="116"/>
      <c r="I39" s="116"/>
    </row>
    <row r="40" spans="1:9" ht="15.6" x14ac:dyDescent="0.3">
      <c r="A40" s="116"/>
      <c r="B40" s="116"/>
      <c r="C40" s="116"/>
      <c r="D40" s="116"/>
      <c r="E40" s="116"/>
      <c r="F40" s="117"/>
      <c r="G40" s="116"/>
      <c r="H40" s="116"/>
      <c r="I40" s="116"/>
    </row>
    <row r="41" spans="1:9" ht="15.6" x14ac:dyDescent="0.3">
      <c r="A41" s="116"/>
      <c r="B41" s="116"/>
      <c r="C41" s="116"/>
      <c r="D41" s="116"/>
      <c r="E41" s="116"/>
      <c r="F41" s="117"/>
      <c r="G41" s="116"/>
      <c r="H41" s="116"/>
      <c r="I41" s="116"/>
    </row>
    <row r="42" spans="1:9" ht="15.6" x14ac:dyDescent="0.3">
      <c r="A42" s="116"/>
      <c r="B42" s="116"/>
      <c r="C42" s="116"/>
      <c r="D42" s="116"/>
      <c r="E42" s="116"/>
      <c r="F42" s="117"/>
      <c r="G42" s="116"/>
      <c r="H42" s="116"/>
      <c r="I42" s="116"/>
    </row>
    <row r="43" spans="1:9" ht="15.6" x14ac:dyDescent="0.3">
      <c r="A43" s="116"/>
      <c r="B43" s="116"/>
      <c r="C43" s="116"/>
      <c r="D43" s="116"/>
      <c r="E43" s="116"/>
      <c r="F43" s="117"/>
      <c r="G43" s="116"/>
      <c r="H43" s="116"/>
      <c r="I43" s="116"/>
    </row>
    <row r="44" spans="1:9" ht="15.6" x14ac:dyDescent="0.3">
      <c r="A44" s="116"/>
      <c r="B44" s="116"/>
      <c r="C44" s="116"/>
      <c r="D44" s="116"/>
      <c r="E44" s="116"/>
      <c r="F44" s="117"/>
      <c r="G44" s="116"/>
      <c r="H44" s="116"/>
      <c r="I44" s="116"/>
    </row>
    <row r="45" spans="1:9" ht="15.6" x14ac:dyDescent="0.3">
      <c r="A45" s="116"/>
      <c r="B45" s="116"/>
      <c r="C45" s="116"/>
      <c r="D45" s="116"/>
      <c r="E45" s="116"/>
      <c r="F45" s="117"/>
      <c r="G45" s="116"/>
      <c r="H45" s="116"/>
      <c r="I45" s="116"/>
    </row>
    <row r="46" spans="1:9" ht="15.6" x14ac:dyDescent="0.3">
      <c r="A46" s="116"/>
      <c r="B46" s="116"/>
      <c r="C46" s="116"/>
      <c r="D46" s="116"/>
      <c r="E46" s="116"/>
      <c r="F46" s="117"/>
      <c r="G46" s="116"/>
      <c r="H46" s="116"/>
      <c r="I46" s="116"/>
    </row>
    <row r="47" spans="1:9" ht="15.6" x14ac:dyDescent="0.3">
      <c r="A47" s="116"/>
      <c r="B47" s="116"/>
      <c r="C47" s="116"/>
      <c r="D47" s="116"/>
      <c r="E47" s="116"/>
      <c r="F47" s="117"/>
      <c r="G47" s="116"/>
      <c r="H47" s="116"/>
      <c r="I47" s="116"/>
    </row>
    <row r="48" spans="1:9" ht="15.6" x14ac:dyDescent="0.3">
      <c r="A48" s="116"/>
      <c r="B48" s="116"/>
      <c r="C48" s="116"/>
      <c r="D48" s="116"/>
      <c r="E48" s="116"/>
      <c r="F48" s="117"/>
      <c r="G48" s="116"/>
      <c r="H48" s="116"/>
      <c r="I48" s="116"/>
    </row>
    <row r="49" spans="1:9" ht="15.6" x14ac:dyDescent="0.3">
      <c r="A49" s="116"/>
      <c r="B49" s="116"/>
      <c r="C49" s="116"/>
      <c r="D49" s="116"/>
      <c r="E49" s="116"/>
      <c r="F49" s="117"/>
      <c r="G49" s="116"/>
      <c r="H49" s="116"/>
      <c r="I49" s="116"/>
    </row>
    <row r="50" spans="1:9" ht="15.6" x14ac:dyDescent="0.3">
      <c r="A50" s="116"/>
      <c r="B50" s="116"/>
      <c r="C50" s="116"/>
      <c r="D50" s="116"/>
      <c r="E50" s="116"/>
      <c r="F50" s="117"/>
      <c r="G50" s="116"/>
      <c r="H50" s="116"/>
      <c r="I50" s="116"/>
    </row>
    <row r="51" spans="1:9" ht="15.6" x14ac:dyDescent="0.3">
      <c r="A51" s="116"/>
      <c r="B51" s="116"/>
      <c r="C51" s="116"/>
      <c r="D51" s="116"/>
      <c r="E51" s="116"/>
      <c r="F51" s="117"/>
      <c r="G51" s="116"/>
      <c r="H51" s="116"/>
      <c r="I51" s="116"/>
    </row>
    <row r="52" spans="1:9" ht="15.6" x14ac:dyDescent="0.3">
      <c r="A52" s="116"/>
      <c r="B52" s="116"/>
      <c r="C52" s="116"/>
      <c r="D52" s="116"/>
      <c r="E52" s="116"/>
      <c r="F52" s="117"/>
      <c r="G52" s="116"/>
      <c r="H52" s="116"/>
      <c r="I52" s="116"/>
    </row>
    <row r="53" spans="1:9" ht="15.6" x14ac:dyDescent="0.3">
      <c r="A53" s="116"/>
      <c r="B53" s="116"/>
      <c r="C53" s="116"/>
      <c r="D53" s="116"/>
      <c r="E53" s="116"/>
      <c r="F53" s="117"/>
      <c r="G53" s="116"/>
      <c r="H53" s="116"/>
      <c r="I53" s="116"/>
    </row>
    <row r="54" spans="1:9" ht="15.6" x14ac:dyDescent="0.3">
      <c r="A54" s="116"/>
      <c r="B54" s="116"/>
      <c r="C54" s="116"/>
      <c r="D54" s="116"/>
      <c r="E54" s="116"/>
      <c r="F54" s="117"/>
      <c r="G54" s="116"/>
      <c r="H54" s="116"/>
      <c r="I54" s="116"/>
    </row>
    <row r="55" spans="1:9" ht="15.6" x14ac:dyDescent="0.3">
      <c r="A55" s="116"/>
      <c r="B55" s="116"/>
      <c r="C55" s="116"/>
      <c r="D55" s="116"/>
      <c r="E55" s="116"/>
      <c r="F55" s="117"/>
      <c r="G55" s="116"/>
      <c r="H55" s="116"/>
      <c r="I55" s="116"/>
    </row>
    <row r="56" spans="1:9" ht="15.6" x14ac:dyDescent="0.3">
      <c r="A56" s="116"/>
      <c r="B56" s="116"/>
      <c r="C56" s="116"/>
      <c r="D56" s="116"/>
      <c r="E56" s="116"/>
      <c r="F56" s="117"/>
      <c r="G56" s="116"/>
      <c r="H56" s="116"/>
      <c r="I56" s="116"/>
    </row>
    <row r="57" spans="1:9" ht="15.6" x14ac:dyDescent="0.3">
      <c r="A57" s="116"/>
      <c r="B57" s="116"/>
      <c r="C57" s="116"/>
      <c r="D57" s="116"/>
      <c r="E57" s="116"/>
      <c r="F57" s="117"/>
      <c r="G57" s="116"/>
      <c r="H57" s="116"/>
      <c r="I57" s="116"/>
    </row>
    <row r="58" spans="1:9" ht="15.6" x14ac:dyDescent="0.3">
      <c r="A58" s="116"/>
      <c r="B58" s="116"/>
      <c r="C58" s="116"/>
      <c r="D58" s="116"/>
      <c r="E58" s="116"/>
      <c r="F58" s="117"/>
      <c r="G58" s="116"/>
      <c r="H58" s="116"/>
      <c r="I58" s="116"/>
    </row>
    <row r="59" spans="1:9" ht="15.6" x14ac:dyDescent="0.3">
      <c r="A59" s="116"/>
      <c r="B59" s="99"/>
      <c r="C59" s="116"/>
      <c r="D59" s="116"/>
      <c r="E59" s="116"/>
      <c r="F59" s="117"/>
      <c r="G59" s="116"/>
      <c r="H59" s="99"/>
      <c r="I59" s="116"/>
    </row>
    <row r="60" spans="1:9" ht="15.6" x14ac:dyDescent="0.3">
      <c r="A60" s="116"/>
      <c r="B60" s="99"/>
      <c r="C60" s="116"/>
      <c r="D60" s="116"/>
      <c r="E60" s="116"/>
      <c r="F60" s="117"/>
      <c r="G60" s="116"/>
      <c r="H60" s="99"/>
      <c r="I60" s="116"/>
    </row>
    <row r="61" spans="1:9" ht="15.6" x14ac:dyDescent="0.3">
      <c r="A61" s="116"/>
      <c r="B61" s="99"/>
      <c r="C61" s="116"/>
      <c r="D61" s="116"/>
      <c r="E61" s="116"/>
      <c r="F61" s="117"/>
      <c r="G61" s="116"/>
      <c r="H61" s="99"/>
      <c r="I61" s="116"/>
    </row>
    <row r="62" spans="1:9" ht="15.6" x14ac:dyDescent="0.3">
      <c r="A62" s="116"/>
      <c r="B62" s="99"/>
      <c r="C62" s="116"/>
      <c r="D62" s="116"/>
      <c r="E62" s="116"/>
      <c r="F62" s="117"/>
      <c r="G62" s="116"/>
      <c r="H62" s="99"/>
      <c r="I62" s="116"/>
    </row>
    <row r="63" spans="1:9" ht="15.6" x14ac:dyDescent="0.3">
      <c r="A63" s="116"/>
      <c r="B63" s="99"/>
      <c r="C63" s="116"/>
      <c r="D63" s="116"/>
      <c r="E63" s="116"/>
      <c r="F63" s="117"/>
      <c r="G63" s="116"/>
      <c r="H63" s="99"/>
      <c r="I63" s="116"/>
    </row>
    <row r="64" spans="1:9" ht="15.6" x14ac:dyDescent="0.3">
      <c r="A64" s="116"/>
      <c r="B64" s="99"/>
      <c r="C64" s="116"/>
      <c r="D64" s="116"/>
      <c r="E64" s="116"/>
      <c r="F64" s="117"/>
      <c r="G64" s="116"/>
      <c r="H64" s="99"/>
      <c r="I64" s="116"/>
    </row>
    <row r="65" spans="1:9" ht="15.6" x14ac:dyDescent="0.3">
      <c r="A65" s="116"/>
      <c r="B65" s="99"/>
      <c r="C65" s="116"/>
      <c r="D65" s="116"/>
      <c r="E65" s="116"/>
      <c r="F65" s="117"/>
      <c r="G65" s="116"/>
      <c r="H65" s="99"/>
      <c r="I65" s="116"/>
    </row>
    <row r="66" spans="1:9" ht="15.6" x14ac:dyDescent="0.3">
      <c r="A66" s="116"/>
      <c r="B66" s="99"/>
      <c r="C66" s="116"/>
      <c r="D66" s="116"/>
      <c r="E66" s="116"/>
      <c r="F66" s="117"/>
      <c r="G66" s="116"/>
      <c r="H66" s="99"/>
      <c r="I66" s="116"/>
    </row>
    <row r="67" spans="1:9" ht="15.6" x14ac:dyDescent="0.3">
      <c r="A67" s="116"/>
      <c r="B67" s="99"/>
      <c r="C67" s="116"/>
      <c r="D67" s="116"/>
      <c r="E67" s="116"/>
      <c r="F67" s="117"/>
      <c r="G67" s="116"/>
      <c r="H67" s="99"/>
      <c r="I67" s="116"/>
    </row>
    <row r="68" spans="1:9" ht="15.6" x14ac:dyDescent="0.3">
      <c r="A68" s="116"/>
      <c r="B68" s="99"/>
      <c r="C68" s="116"/>
      <c r="D68" s="116"/>
      <c r="E68" s="116"/>
      <c r="F68" s="117"/>
      <c r="G68" s="116"/>
      <c r="H68" s="99"/>
      <c r="I68" s="116"/>
    </row>
    <row r="69" spans="1:9" ht="15.6" x14ac:dyDescent="0.3">
      <c r="A69" s="116"/>
      <c r="B69" s="99"/>
      <c r="C69" s="116"/>
      <c r="D69" s="116"/>
      <c r="E69" s="116"/>
      <c r="F69" s="117"/>
      <c r="G69" s="116"/>
      <c r="H69" s="99"/>
      <c r="I69" s="116"/>
    </row>
    <row r="70" spans="1:9" ht="15.6" x14ac:dyDescent="0.3">
      <c r="A70" s="116"/>
      <c r="B70" s="99"/>
      <c r="C70" s="116"/>
      <c r="D70" s="116"/>
      <c r="E70" s="116"/>
      <c r="F70" s="117"/>
      <c r="G70" s="116"/>
      <c r="H70" s="99"/>
      <c r="I70" s="116"/>
    </row>
    <row r="71" spans="1:9" ht="15.6" x14ac:dyDescent="0.3">
      <c r="A71" s="116"/>
      <c r="B71" s="99"/>
      <c r="C71" s="116"/>
      <c r="D71" s="116"/>
      <c r="E71" s="116"/>
      <c r="F71" s="117"/>
      <c r="G71" s="116"/>
      <c r="H71" s="99"/>
      <c r="I71" s="116"/>
    </row>
    <row r="72" spans="1:9" ht="15.6" x14ac:dyDescent="0.3">
      <c r="A72" s="116"/>
      <c r="B72" s="99"/>
      <c r="C72" s="116"/>
      <c r="D72" s="116"/>
      <c r="E72" s="116"/>
      <c r="F72" s="117"/>
      <c r="G72" s="116"/>
      <c r="H72" s="99"/>
      <c r="I72" s="116"/>
    </row>
    <row r="73" spans="1:9" ht="15.6" x14ac:dyDescent="0.3">
      <c r="A73" s="116"/>
      <c r="B73" s="99"/>
      <c r="C73" s="116"/>
      <c r="D73" s="116"/>
      <c r="E73" s="116"/>
      <c r="F73" s="117"/>
      <c r="G73" s="116"/>
      <c r="H73" s="99"/>
      <c r="I73" s="116"/>
    </row>
    <row r="74" spans="1:9" ht="15.6" x14ac:dyDescent="0.3">
      <c r="A74" s="116"/>
      <c r="B74" s="99"/>
      <c r="C74" s="116"/>
      <c r="D74" s="116"/>
      <c r="E74" s="116"/>
      <c r="F74" s="117"/>
      <c r="G74" s="116"/>
      <c r="H74" s="99"/>
      <c r="I74" s="116"/>
    </row>
    <row r="75" spans="1:9" ht="15.6" x14ac:dyDescent="0.3">
      <c r="A75" s="116"/>
      <c r="B75" s="99"/>
      <c r="C75" s="116"/>
      <c r="D75" s="116"/>
      <c r="E75" s="116"/>
      <c r="F75" s="117"/>
      <c r="G75" s="116"/>
      <c r="H75" s="99"/>
      <c r="I75" s="116"/>
    </row>
    <row r="76" spans="1:9" ht="15.6" x14ac:dyDescent="0.3">
      <c r="A76" s="116"/>
      <c r="B76" s="99"/>
      <c r="C76" s="116"/>
      <c r="D76" s="116"/>
      <c r="E76" s="116"/>
      <c r="F76" s="117"/>
      <c r="G76" s="116"/>
      <c r="H76" s="99"/>
      <c r="I76" s="116"/>
    </row>
    <row r="77" spans="1:9" ht="15.6" x14ac:dyDescent="0.3">
      <c r="A77" s="116"/>
      <c r="B77" s="99"/>
      <c r="C77" s="116"/>
      <c r="D77" s="116"/>
      <c r="E77" s="116"/>
      <c r="F77" s="117"/>
      <c r="G77" s="116"/>
      <c r="H77" s="99"/>
      <c r="I77" s="116"/>
    </row>
    <row r="78" spans="1:9" ht="15.6" x14ac:dyDescent="0.3">
      <c r="A78" s="116"/>
      <c r="B78" s="99"/>
      <c r="C78" s="116"/>
      <c r="D78" s="116"/>
      <c r="E78" s="116"/>
      <c r="F78" s="117"/>
      <c r="G78" s="116"/>
      <c r="H78" s="99"/>
      <c r="I78" s="116"/>
    </row>
    <row r="79" spans="1:9" ht="15.6" x14ac:dyDescent="0.3">
      <c r="A79" s="116"/>
      <c r="B79" s="99"/>
      <c r="C79" s="116"/>
      <c r="D79" s="116"/>
      <c r="E79" s="116"/>
      <c r="F79" s="117"/>
      <c r="G79" s="116"/>
      <c r="H79" s="99"/>
      <c r="I79" s="116"/>
    </row>
    <row r="80" spans="1:9" ht="15.6" x14ac:dyDescent="0.3">
      <c r="A80" s="116"/>
      <c r="B80" s="99"/>
      <c r="C80" s="116"/>
      <c r="D80" s="116"/>
      <c r="E80" s="116"/>
      <c r="F80" s="117"/>
      <c r="G80" s="116"/>
      <c r="H80" s="99"/>
      <c r="I80" s="116"/>
    </row>
    <row r="81" spans="1:9" ht="15.6" x14ac:dyDescent="0.3">
      <c r="A81" s="116"/>
      <c r="B81" s="99"/>
      <c r="C81" s="116"/>
      <c r="D81" s="116"/>
      <c r="E81" s="116"/>
      <c r="F81" s="117"/>
      <c r="G81" s="116"/>
      <c r="H81" s="99"/>
      <c r="I81" s="116"/>
    </row>
    <row r="82" spans="1:9" ht="15.6" x14ac:dyDescent="0.3">
      <c r="A82" s="116"/>
      <c r="B82" s="99"/>
      <c r="C82" s="116"/>
      <c r="D82" s="116"/>
      <c r="E82" s="116"/>
      <c r="F82" s="117"/>
      <c r="G82" s="116"/>
      <c r="H82" s="99"/>
      <c r="I82" s="116"/>
    </row>
    <row r="83" spans="1:9" ht="15.6" x14ac:dyDescent="0.3">
      <c r="A83" s="116"/>
      <c r="B83" s="99"/>
      <c r="C83" s="116"/>
      <c r="D83" s="116"/>
      <c r="E83" s="116"/>
      <c r="F83" s="117"/>
      <c r="G83" s="116"/>
      <c r="H83" s="99"/>
      <c r="I83" s="116"/>
    </row>
    <row r="84" spans="1:9" ht="15.6" x14ac:dyDescent="0.3">
      <c r="A84" s="116"/>
      <c r="B84" s="99"/>
      <c r="C84" s="116"/>
      <c r="D84" s="116"/>
      <c r="E84" s="116"/>
      <c r="F84" s="117"/>
      <c r="G84" s="116"/>
      <c r="H84" s="99"/>
      <c r="I84" s="116"/>
    </row>
    <row r="85" spans="1:9" ht="15.6" x14ac:dyDescent="0.3">
      <c r="A85" s="116"/>
      <c r="B85" s="99"/>
      <c r="C85" s="116"/>
      <c r="D85" s="116"/>
      <c r="E85" s="116"/>
      <c r="F85" s="117"/>
      <c r="G85" s="116"/>
      <c r="H85" s="99"/>
      <c r="I85" s="116"/>
    </row>
    <row r="86" spans="1:9" ht="15.6" x14ac:dyDescent="0.3">
      <c r="A86" s="116"/>
      <c r="B86" s="99"/>
      <c r="C86" s="116"/>
      <c r="D86" s="116"/>
      <c r="E86" s="116"/>
      <c r="F86" s="117"/>
      <c r="G86" s="116"/>
      <c r="H86" s="99"/>
      <c r="I86" s="116"/>
    </row>
    <row r="87" spans="1:9" ht="15.6" x14ac:dyDescent="0.3">
      <c r="A87" s="116"/>
      <c r="C87" s="116"/>
      <c r="D87" s="116"/>
      <c r="E87" s="116"/>
      <c r="F87" s="117"/>
      <c r="G87" s="116"/>
      <c r="I87" s="116"/>
    </row>
    <row r="88" spans="1:9" ht="15.6" x14ac:dyDescent="0.3">
      <c r="A88" s="116"/>
      <c r="C88" s="116"/>
      <c r="D88" s="116"/>
      <c r="E88" s="116"/>
      <c r="F88" s="117"/>
      <c r="G88" s="116"/>
      <c r="I88" s="116"/>
    </row>
    <row r="89" spans="1:9" ht="15.6" x14ac:dyDescent="0.3">
      <c r="A89" s="116"/>
      <c r="C89" s="116"/>
      <c r="D89" s="116"/>
      <c r="E89" s="116"/>
      <c r="F89" s="117"/>
      <c r="G89" s="116"/>
      <c r="I89" s="116"/>
    </row>
    <row r="90" spans="1:9" ht="15.6" x14ac:dyDescent="0.3">
      <c r="A90" s="116"/>
      <c r="C90" s="116"/>
      <c r="D90" s="116"/>
      <c r="E90" s="116"/>
      <c r="F90" s="117"/>
      <c r="G90" s="116"/>
      <c r="I90" s="116"/>
    </row>
    <row r="91" spans="1:9" ht="15.6" x14ac:dyDescent="0.3">
      <c r="A91" s="116"/>
      <c r="C91" s="116"/>
      <c r="D91" s="116"/>
      <c r="E91" s="116"/>
      <c r="F91" s="117"/>
      <c r="G91" s="116"/>
      <c r="I91" s="116"/>
    </row>
    <row r="92" spans="1:9" ht="15.6" x14ac:dyDescent="0.3">
      <c r="A92" s="116"/>
      <c r="C92" s="116"/>
      <c r="D92" s="116"/>
      <c r="E92" s="116"/>
      <c r="F92" s="117"/>
      <c r="G92" s="116"/>
      <c r="I92" s="116"/>
    </row>
    <row r="93" spans="1:9" ht="15.6" x14ac:dyDescent="0.3">
      <c r="A93" s="116"/>
      <c r="C93" s="116"/>
      <c r="D93" s="116"/>
      <c r="E93" s="116"/>
      <c r="F93" s="117"/>
      <c r="G93" s="116"/>
      <c r="I93" s="116"/>
    </row>
    <row r="94" spans="1:9" ht="15.6" x14ac:dyDescent="0.3">
      <c r="A94" s="116"/>
      <c r="C94" s="116"/>
      <c r="D94" s="116"/>
      <c r="E94" s="116"/>
      <c r="F94" s="117"/>
      <c r="G94" s="116"/>
      <c r="I94" s="116"/>
    </row>
    <row r="95" spans="1:9" ht="15.6" x14ac:dyDescent="0.3">
      <c r="A95" s="116"/>
      <c r="C95" s="116"/>
      <c r="D95" s="116"/>
      <c r="E95" s="116"/>
      <c r="F95" s="117"/>
      <c r="G95" s="116"/>
      <c r="I95" s="116"/>
    </row>
    <row r="96" spans="1:9" ht="15.6" x14ac:dyDescent="0.3">
      <c r="A96" s="116"/>
      <c r="C96" s="116"/>
      <c r="D96" s="116"/>
      <c r="E96" s="116"/>
      <c r="F96" s="117"/>
      <c r="G96" s="116"/>
      <c r="I96" s="116"/>
    </row>
    <row r="97" spans="1:9" ht="15.6" x14ac:dyDescent="0.3">
      <c r="A97" s="116"/>
      <c r="C97" s="116"/>
      <c r="D97" s="116"/>
      <c r="E97" s="116"/>
      <c r="F97" s="117"/>
      <c r="G97" s="116"/>
      <c r="I97" s="116"/>
    </row>
    <row r="98" spans="1:9" ht="15.6" x14ac:dyDescent="0.3">
      <c r="A98" s="116"/>
      <c r="C98" s="116"/>
      <c r="D98" s="116"/>
      <c r="E98" s="116"/>
      <c r="F98" s="117"/>
      <c r="G98" s="116"/>
      <c r="I98" s="116"/>
    </row>
    <row r="99" spans="1:9" ht="15.6" x14ac:dyDescent="0.3">
      <c r="A99" s="116"/>
      <c r="C99" s="116"/>
      <c r="D99" s="116"/>
      <c r="E99" s="116"/>
      <c r="F99" s="117"/>
      <c r="G99" s="116"/>
      <c r="I99" s="116"/>
    </row>
    <row r="100" spans="1:9" ht="15.6" x14ac:dyDescent="0.3">
      <c r="A100" s="116"/>
      <c r="C100" s="116"/>
      <c r="D100" s="116"/>
      <c r="E100" s="116"/>
      <c r="F100" s="117"/>
      <c r="G100" s="116"/>
      <c r="I100" s="116"/>
    </row>
  </sheetData>
  <dataValidations count="2">
    <dataValidation type="decimal" allowBlank="1" showInputMessage="1" showErrorMessage="1" sqref="I11:I100" xr:uid="{506B380A-9C73-4841-B409-6816F1064574}">
      <formula1>-1000000000</formula1>
      <formula2>1000000000</formula2>
    </dataValidation>
    <dataValidation type="decimal" allowBlank="1" showInputMessage="1" showErrorMessage="1" sqref="F11:F100" xr:uid="{1934B3DE-9D6A-49A7-AA8B-3DE58AD45789}">
      <formula1>-100000000000000000000</formula1>
      <formula2>1E+21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FAFAE32-006D-4C3C-BE21-4A1D10673F47}">
          <x14:formula1>
            <xm:f>'SWB Variables'!$E$2:$E$152</xm:f>
          </x14:formula1>
          <xm:sqref>B11:B55</xm:sqref>
        </x14:dataValidation>
        <x14:dataValidation type="list" allowBlank="1" showInputMessage="1" showErrorMessage="1" xr:uid="{677584EA-84F1-4F06-95EA-0BBFC62920D8}">
          <x14:formula1>
            <xm:f>'SWB Variables'!$I$2:$I$20</xm:f>
          </x14:formula1>
          <xm:sqref>G11:G100</xm:sqref>
        </x14:dataValidation>
        <x14:dataValidation type="list" allowBlank="1" showInputMessage="1" showErrorMessage="1" xr:uid="{B630705C-B338-408C-9E0A-020BBECDED35}">
          <x14:formula1>
            <xm:f>'SWB Variables'!$C$2:$C$4</xm:f>
          </x14:formula1>
          <xm:sqref>C11:C100</xm:sqref>
        </x14:dataValidation>
        <x14:dataValidation type="list" allowBlank="1" showInputMessage="1" showErrorMessage="1" xr:uid="{07A76C95-ED71-45BC-AB0A-CDC9A07C9293}">
          <x14:formula1>
            <xm:f>'SWB Variables'!$A$2:$A$8</xm:f>
          </x14:formula1>
          <xm:sqref>A11:A100</xm:sqref>
        </x14:dataValidation>
        <x14:dataValidation type="list" allowBlank="1" showInputMessage="1" showErrorMessage="1" xr:uid="{CD1FAF86-A4D6-4B65-8C31-685C9BEBBA6A}">
          <x14:formula1>
            <xm:f>'SWB Variables'!$G$2:$G$6</xm:f>
          </x14:formula1>
          <xm:sqref>E12:E100 E11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CD2FA-C285-418D-820E-32CE3299BFF2}">
  <sheetPr>
    <tabColor rgb="FF92D050"/>
  </sheetPr>
  <dimension ref="A1:I152"/>
  <sheetViews>
    <sheetView showGridLines="0" workbookViewId="0">
      <selection activeCell="G21" sqref="G21"/>
    </sheetView>
  </sheetViews>
  <sheetFormatPr defaultRowHeight="14.4" x14ac:dyDescent="0.3"/>
  <cols>
    <col min="1" max="1" width="15.21875" bestFit="1" customWidth="1"/>
    <col min="2" max="2" width="1.77734375" customWidth="1"/>
    <col min="3" max="3" width="15.21875" customWidth="1"/>
    <col min="4" max="4" width="1.77734375" customWidth="1"/>
    <col min="5" max="5" width="57.77734375" bestFit="1" customWidth="1"/>
    <col min="6" max="6" width="1.77734375" customWidth="1"/>
    <col min="7" max="7" width="20.21875" bestFit="1" customWidth="1"/>
    <col min="8" max="8" width="1.77734375" customWidth="1"/>
    <col min="9" max="9" width="91.21875" bestFit="1" customWidth="1"/>
  </cols>
  <sheetData>
    <row r="1" spans="1:9" x14ac:dyDescent="0.3">
      <c r="A1" s="26" t="s">
        <v>48</v>
      </c>
      <c r="B1" s="26"/>
      <c r="C1" s="26" t="s">
        <v>49</v>
      </c>
      <c r="D1" s="26"/>
      <c r="E1" s="26" t="s">
        <v>108</v>
      </c>
      <c r="G1" s="26" t="s">
        <v>81</v>
      </c>
      <c r="I1" s="26" t="s">
        <v>109</v>
      </c>
    </row>
    <row r="2" spans="1:9" x14ac:dyDescent="0.3">
      <c r="A2" t="s">
        <v>62</v>
      </c>
      <c r="C2" t="s">
        <v>24</v>
      </c>
      <c r="E2" t="s">
        <v>88</v>
      </c>
      <c r="G2" t="s">
        <v>86</v>
      </c>
      <c r="I2" t="s">
        <v>78</v>
      </c>
    </row>
    <row r="3" spans="1:9" x14ac:dyDescent="0.3">
      <c r="A3" t="s">
        <v>64</v>
      </c>
      <c r="C3" t="s">
        <v>23</v>
      </c>
      <c r="E3" t="s">
        <v>110</v>
      </c>
      <c r="G3" t="s">
        <v>90</v>
      </c>
      <c r="I3" t="s">
        <v>87</v>
      </c>
    </row>
    <row r="4" spans="1:9" x14ac:dyDescent="0.3">
      <c r="A4" t="s">
        <v>63</v>
      </c>
      <c r="C4" t="s">
        <v>69</v>
      </c>
      <c r="E4" t="s">
        <v>111</v>
      </c>
      <c r="G4" t="s">
        <v>112</v>
      </c>
      <c r="I4" t="s">
        <v>91</v>
      </c>
    </row>
    <row r="5" spans="1:9" x14ac:dyDescent="0.3">
      <c r="A5" t="s">
        <v>65</v>
      </c>
      <c r="E5" t="s">
        <v>113</v>
      </c>
      <c r="G5" t="s">
        <v>290</v>
      </c>
      <c r="I5" t="s">
        <v>92</v>
      </c>
    </row>
    <row r="6" spans="1:9" x14ac:dyDescent="0.3">
      <c r="A6" t="s">
        <v>67</v>
      </c>
      <c r="E6" t="s">
        <v>114</v>
      </c>
      <c r="G6" t="s">
        <v>41</v>
      </c>
      <c r="I6" t="s">
        <v>93</v>
      </c>
    </row>
    <row r="7" spans="1:9" x14ac:dyDescent="0.3">
      <c r="A7" t="s">
        <v>66</v>
      </c>
      <c r="E7" t="s">
        <v>115</v>
      </c>
      <c r="I7" t="s">
        <v>94</v>
      </c>
    </row>
    <row r="8" spans="1:9" x14ac:dyDescent="0.3">
      <c r="A8" t="s">
        <v>68</v>
      </c>
      <c r="E8" t="s">
        <v>116</v>
      </c>
      <c r="I8" t="s">
        <v>95</v>
      </c>
    </row>
    <row r="9" spans="1:9" x14ac:dyDescent="0.3">
      <c r="E9" t="s">
        <v>117</v>
      </c>
      <c r="I9" t="s">
        <v>96</v>
      </c>
    </row>
    <row r="10" spans="1:9" x14ac:dyDescent="0.3">
      <c r="E10" t="s">
        <v>118</v>
      </c>
      <c r="I10" t="s">
        <v>97</v>
      </c>
    </row>
    <row r="11" spans="1:9" x14ac:dyDescent="0.3">
      <c r="E11" t="s">
        <v>119</v>
      </c>
      <c r="I11" t="s">
        <v>98</v>
      </c>
    </row>
    <row r="12" spans="1:9" x14ac:dyDescent="0.3">
      <c r="E12" t="s">
        <v>120</v>
      </c>
      <c r="I12" t="s">
        <v>99</v>
      </c>
    </row>
    <row r="13" spans="1:9" x14ac:dyDescent="0.3">
      <c r="E13" t="s">
        <v>121</v>
      </c>
      <c r="I13" t="s">
        <v>100</v>
      </c>
    </row>
    <row r="14" spans="1:9" x14ac:dyDescent="0.3">
      <c r="E14" t="s">
        <v>122</v>
      </c>
      <c r="I14" t="s">
        <v>101</v>
      </c>
    </row>
    <row r="15" spans="1:9" x14ac:dyDescent="0.3">
      <c r="E15" t="s">
        <v>123</v>
      </c>
      <c r="I15" t="s">
        <v>102</v>
      </c>
    </row>
    <row r="16" spans="1:9" x14ac:dyDescent="0.3">
      <c r="E16" t="s">
        <v>124</v>
      </c>
      <c r="I16" t="s">
        <v>103</v>
      </c>
    </row>
    <row r="17" spans="5:9" x14ac:dyDescent="0.3">
      <c r="E17" t="s">
        <v>125</v>
      </c>
      <c r="I17" t="s">
        <v>104</v>
      </c>
    </row>
    <row r="18" spans="5:9" x14ac:dyDescent="0.3">
      <c r="E18" t="s">
        <v>126</v>
      </c>
      <c r="I18" t="s">
        <v>105</v>
      </c>
    </row>
    <row r="19" spans="5:9" x14ac:dyDescent="0.3">
      <c r="E19" t="s">
        <v>127</v>
      </c>
      <c r="I19" t="s">
        <v>106</v>
      </c>
    </row>
    <row r="20" spans="5:9" x14ac:dyDescent="0.3">
      <c r="E20" t="s">
        <v>128</v>
      </c>
      <c r="I20" s="57" t="s">
        <v>107</v>
      </c>
    </row>
    <row r="21" spans="5:9" x14ac:dyDescent="0.3">
      <c r="E21" t="s">
        <v>129</v>
      </c>
    </row>
    <row r="22" spans="5:9" x14ac:dyDescent="0.3">
      <c r="E22" t="s">
        <v>130</v>
      </c>
    </row>
    <row r="23" spans="5:9" x14ac:dyDescent="0.3">
      <c r="E23" t="s">
        <v>131</v>
      </c>
    </row>
    <row r="24" spans="5:9" x14ac:dyDescent="0.3">
      <c r="E24" t="s">
        <v>132</v>
      </c>
    </row>
    <row r="25" spans="5:9" x14ac:dyDescent="0.3">
      <c r="E25" t="s">
        <v>133</v>
      </c>
    </row>
    <row r="26" spans="5:9" x14ac:dyDescent="0.3">
      <c r="E26" t="s">
        <v>134</v>
      </c>
    </row>
    <row r="27" spans="5:9" x14ac:dyDescent="0.3">
      <c r="E27" t="s">
        <v>135</v>
      </c>
    </row>
    <row r="28" spans="5:9" x14ac:dyDescent="0.3">
      <c r="E28" t="s">
        <v>136</v>
      </c>
    </row>
    <row r="29" spans="5:9" x14ac:dyDescent="0.3">
      <c r="E29" t="s">
        <v>137</v>
      </c>
    </row>
    <row r="30" spans="5:9" x14ac:dyDescent="0.3">
      <c r="E30" t="s">
        <v>138</v>
      </c>
    </row>
    <row r="31" spans="5:9" x14ac:dyDescent="0.3">
      <c r="E31" t="s">
        <v>139</v>
      </c>
    </row>
    <row r="32" spans="5:9" x14ac:dyDescent="0.3">
      <c r="E32" t="s">
        <v>140</v>
      </c>
    </row>
    <row r="33" spans="5:5" x14ac:dyDescent="0.3">
      <c r="E33" t="s">
        <v>141</v>
      </c>
    </row>
    <row r="34" spans="5:5" x14ac:dyDescent="0.3">
      <c r="E34" t="s">
        <v>142</v>
      </c>
    </row>
    <row r="35" spans="5:5" x14ac:dyDescent="0.3">
      <c r="E35" t="s">
        <v>143</v>
      </c>
    </row>
    <row r="36" spans="5:5" x14ac:dyDescent="0.3">
      <c r="E36" t="s">
        <v>144</v>
      </c>
    </row>
    <row r="37" spans="5:5" x14ac:dyDescent="0.3">
      <c r="E37" t="s">
        <v>145</v>
      </c>
    </row>
    <row r="38" spans="5:5" x14ac:dyDescent="0.3">
      <c r="E38" t="s">
        <v>146</v>
      </c>
    </row>
    <row r="39" spans="5:5" x14ac:dyDescent="0.3">
      <c r="E39" t="s">
        <v>147</v>
      </c>
    </row>
    <row r="40" spans="5:5" x14ac:dyDescent="0.3">
      <c r="E40" t="s">
        <v>148</v>
      </c>
    </row>
    <row r="41" spans="5:5" x14ac:dyDescent="0.3">
      <c r="E41" t="s">
        <v>149</v>
      </c>
    </row>
    <row r="42" spans="5:5" x14ac:dyDescent="0.3">
      <c r="E42" t="s">
        <v>150</v>
      </c>
    </row>
    <row r="43" spans="5:5" x14ac:dyDescent="0.3">
      <c r="E43" t="s">
        <v>151</v>
      </c>
    </row>
    <row r="44" spans="5:5" x14ac:dyDescent="0.3">
      <c r="E44" t="s">
        <v>152</v>
      </c>
    </row>
    <row r="45" spans="5:5" x14ac:dyDescent="0.3">
      <c r="E45" t="s">
        <v>153</v>
      </c>
    </row>
    <row r="46" spans="5:5" x14ac:dyDescent="0.3">
      <c r="E46" t="s">
        <v>154</v>
      </c>
    </row>
    <row r="47" spans="5:5" x14ac:dyDescent="0.3">
      <c r="E47" t="s">
        <v>155</v>
      </c>
    </row>
    <row r="48" spans="5:5" x14ac:dyDescent="0.3">
      <c r="E48" t="s">
        <v>156</v>
      </c>
    </row>
    <row r="49" spans="5:5" x14ac:dyDescent="0.3">
      <c r="E49" t="s">
        <v>157</v>
      </c>
    </row>
    <row r="50" spans="5:5" x14ac:dyDescent="0.3">
      <c r="E50" t="s">
        <v>158</v>
      </c>
    </row>
    <row r="51" spans="5:5" x14ac:dyDescent="0.3">
      <c r="E51" t="s">
        <v>159</v>
      </c>
    </row>
    <row r="52" spans="5:5" x14ac:dyDescent="0.3">
      <c r="E52" t="s">
        <v>160</v>
      </c>
    </row>
    <row r="53" spans="5:5" x14ac:dyDescent="0.3">
      <c r="E53" t="s">
        <v>161</v>
      </c>
    </row>
    <row r="54" spans="5:5" x14ac:dyDescent="0.3">
      <c r="E54" t="s">
        <v>162</v>
      </c>
    </row>
    <row r="55" spans="5:5" x14ac:dyDescent="0.3">
      <c r="E55" t="s">
        <v>163</v>
      </c>
    </row>
    <row r="56" spans="5:5" x14ac:dyDescent="0.3">
      <c r="E56" t="s">
        <v>164</v>
      </c>
    </row>
    <row r="57" spans="5:5" x14ac:dyDescent="0.3">
      <c r="E57" t="s">
        <v>165</v>
      </c>
    </row>
    <row r="58" spans="5:5" x14ac:dyDescent="0.3">
      <c r="E58" t="s">
        <v>166</v>
      </c>
    </row>
    <row r="59" spans="5:5" x14ac:dyDescent="0.3">
      <c r="E59" t="s">
        <v>167</v>
      </c>
    </row>
    <row r="60" spans="5:5" x14ac:dyDescent="0.3">
      <c r="E60" t="s">
        <v>168</v>
      </c>
    </row>
    <row r="61" spans="5:5" x14ac:dyDescent="0.3">
      <c r="E61" t="s">
        <v>169</v>
      </c>
    </row>
    <row r="62" spans="5:5" x14ac:dyDescent="0.3">
      <c r="E62" t="s">
        <v>170</v>
      </c>
    </row>
    <row r="63" spans="5:5" x14ac:dyDescent="0.3">
      <c r="E63" t="s">
        <v>171</v>
      </c>
    </row>
    <row r="64" spans="5:5" x14ac:dyDescent="0.3">
      <c r="E64" t="s">
        <v>172</v>
      </c>
    </row>
    <row r="65" spans="5:5" x14ac:dyDescent="0.3">
      <c r="E65" t="s">
        <v>173</v>
      </c>
    </row>
    <row r="66" spans="5:5" x14ac:dyDescent="0.3">
      <c r="E66" t="s">
        <v>174</v>
      </c>
    </row>
    <row r="67" spans="5:5" x14ac:dyDescent="0.3">
      <c r="E67" t="s">
        <v>175</v>
      </c>
    </row>
    <row r="68" spans="5:5" x14ac:dyDescent="0.3">
      <c r="E68" t="s">
        <v>176</v>
      </c>
    </row>
    <row r="69" spans="5:5" x14ac:dyDescent="0.3">
      <c r="E69" t="s">
        <v>177</v>
      </c>
    </row>
    <row r="70" spans="5:5" x14ac:dyDescent="0.3">
      <c r="E70" t="s">
        <v>178</v>
      </c>
    </row>
    <row r="71" spans="5:5" x14ac:dyDescent="0.3">
      <c r="E71" t="s">
        <v>179</v>
      </c>
    </row>
    <row r="72" spans="5:5" x14ac:dyDescent="0.3">
      <c r="E72" t="s">
        <v>180</v>
      </c>
    </row>
    <row r="73" spans="5:5" x14ac:dyDescent="0.3">
      <c r="E73" t="s">
        <v>181</v>
      </c>
    </row>
    <row r="74" spans="5:5" x14ac:dyDescent="0.3">
      <c r="E74" t="s">
        <v>182</v>
      </c>
    </row>
    <row r="75" spans="5:5" x14ac:dyDescent="0.3">
      <c r="E75" t="s">
        <v>183</v>
      </c>
    </row>
    <row r="76" spans="5:5" x14ac:dyDescent="0.3">
      <c r="E76" t="s">
        <v>184</v>
      </c>
    </row>
    <row r="77" spans="5:5" x14ac:dyDescent="0.3">
      <c r="E77" t="s">
        <v>185</v>
      </c>
    </row>
    <row r="78" spans="5:5" x14ac:dyDescent="0.3">
      <c r="E78" t="s">
        <v>186</v>
      </c>
    </row>
    <row r="79" spans="5:5" x14ac:dyDescent="0.3">
      <c r="E79" t="s">
        <v>187</v>
      </c>
    </row>
    <row r="80" spans="5:5" x14ac:dyDescent="0.3">
      <c r="E80" t="s">
        <v>188</v>
      </c>
    </row>
    <row r="81" spans="5:5" x14ac:dyDescent="0.3">
      <c r="E81" t="s">
        <v>189</v>
      </c>
    </row>
    <row r="82" spans="5:5" x14ac:dyDescent="0.3">
      <c r="E82" t="s">
        <v>190</v>
      </c>
    </row>
    <row r="83" spans="5:5" x14ac:dyDescent="0.3">
      <c r="E83" t="s">
        <v>191</v>
      </c>
    </row>
    <row r="84" spans="5:5" x14ac:dyDescent="0.3">
      <c r="E84" t="s">
        <v>192</v>
      </c>
    </row>
    <row r="85" spans="5:5" x14ac:dyDescent="0.3">
      <c r="E85" t="s">
        <v>193</v>
      </c>
    </row>
    <row r="86" spans="5:5" x14ac:dyDescent="0.3">
      <c r="E86" t="s">
        <v>194</v>
      </c>
    </row>
    <row r="87" spans="5:5" x14ac:dyDescent="0.3">
      <c r="E87" t="s">
        <v>195</v>
      </c>
    </row>
    <row r="88" spans="5:5" x14ac:dyDescent="0.3">
      <c r="E88" t="s">
        <v>196</v>
      </c>
    </row>
    <row r="89" spans="5:5" x14ac:dyDescent="0.3">
      <c r="E89" t="s">
        <v>197</v>
      </c>
    </row>
    <row r="90" spans="5:5" x14ac:dyDescent="0.3">
      <c r="E90" t="s">
        <v>198</v>
      </c>
    </row>
    <row r="91" spans="5:5" x14ac:dyDescent="0.3">
      <c r="E91" t="s">
        <v>199</v>
      </c>
    </row>
    <row r="92" spans="5:5" x14ac:dyDescent="0.3">
      <c r="E92" t="s">
        <v>200</v>
      </c>
    </row>
    <row r="93" spans="5:5" x14ac:dyDescent="0.3">
      <c r="E93" t="s">
        <v>201</v>
      </c>
    </row>
    <row r="94" spans="5:5" x14ac:dyDescent="0.3">
      <c r="E94" t="s">
        <v>202</v>
      </c>
    </row>
    <row r="95" spans="5:5" x14ac:dyDescent="0.3">
      <c r="E95" t="s">
        <v>203</v>
      </c>
    </row>
    <row r="96" spans="5:5" x14ac:dyDescent="0.3">
      <c r="E96" t="s">
        <v>204</v>
      </c>
    </row>
    <row r="97" spans="5:5" x14ac:dyDescent="0.3">
      <c r="E97" t="s">
        <v>205</v>
      </c>
    </row>
    <row r="98" spans="5:5" x14ac:dyDescent="0.3">
      <c r="E98" t="s">
        <v>206</v>
      </c>
    </row>
    <row r="99" spans="5:5" x14ac:dyDescent="0.3">
      <c r="E99" t="s">
        <v>207</v>
      </c>
    </row>
    <row r="100" spans="5:5" x14ac:dyDescent="0.3">
      <c r="E100" t="s">
        <v>208</v>
      </c>
    </row>
    <row r="101" spans="5:5" x14ac:dyDescent="0.3">
      <c r="E101" t="s">
        <v>209</v>
      </c>
    </row>
    <row r="102" spans="5:5" x14ac:dyDescent="0.3">
      <c r="E102" t="s">
        <v>210</v>
      </c>
    </row>
    <row r="103" spans="5:5" x14ac:dyDescent="0.3">
      <c r="E103" t="s">
        <v>211</v>
      </c>
    </row>
    <row r="104" spans="5:5" x14ac:dyDescent="0.3">
      <c r="E104" t="s">
        <v>212</v>
      </c>
    </row>
    <row r="105" spans="5:5" x14ac:dyDescent="0.3">
      <c r="E105" t="s">
        <v>213</v>
      </c>
    </row>
    <row r="106" spans="5:5" x14ac:dyDescent="0.3">
      <c r="E106" t="s">
        <v>214</v>
      </c>
    </row>
    <row r="107" spans="5:5" x14ac:dyDescent="0.3">
      <c r="E107" t="s">
        <v>215</v>
      </c>
    </row>
    <row r="108" spans="5:5" x14ac:dyDescent="0.3">
      <c r="E108" t="s">
        <v>216</v>
      </c>
    </row>
    <row r="109" spans="5:5" x14ac:dyDescent="0.3">
      <c r="E109" t="s">
        <v>217</v>
      </c>
    </row>
    <row r="110" spans="5:5" x14ac:dyDescent="0.3">
      <c r="E110" t="s">
        <v>218</v>
      </c>
    </row>
    <row r="111" spans="5:5" x14ac:dyDescent="0.3">
      <c r="E111" t="s">
        <v>219</v>
      </c>
    </row>
    <row r="112" spans="5:5" x14ac:dyDescent="0.3">
      <c r="E112" t="s">
        <v>220</v>
      </c>
    </row>
    <row r="113" spans="5:5" x14ac:dyDescent="0.3">
      <c r="E113" t="s">
        <v>221</v>
      </c>
    </row>
    <row r="114" spans="5:5" x14ac:dyDescent="0.3">
      <c r="E114" t="s">
        <v>222</v>
      </c>
    </row>
    <row r="115" spans="5:5" x14ac:dyDescent="0.3">
      <c r="E115" t="s">
        <v>223</v>
      </c>
    </row>
    <row r="116" spans="5:5" x14ac:dyDescent="0.3">
      <c r="E116" t="s">
        <v>224</v>
      </c>
    </row>
    <row r="117" spans="5:5" x14ac:dyDescent="0.3">
      <c r="E117" t="s">
        <v>225</v>
      </c>
    </row>
    <row r="118" spans="5:5" x14ac:dyDescent="0.3">
      <c r="E118" t="s">
        <v>226</v>
      </c>
    </row>
    <row r="119" spans="5:5" x14ac:dyDescent="0.3">
      <c r="E119" t="s">
        <v>227</v>
      </c>
    </row>
    <row r="120" spans="5:5" x14ac:dyDescent="0.3">
      <c r="E120" t="s">
        <v>228</v>
      </c>
    </row>
    <row r="121" spans="5:5" x14ac:dyDescent="0.3">
      <c r="E121" t="s">
        <v>229</v>
      </c>
    </row>
    <row r="122" spans="5:5" x14ac:dyDescent="0.3">
      <c r="E122" t="s">
        <v>230</v>
      </c>
    </row>
    <row r="123" spans="5:5" x14ac:dyDescent="0.3">
      <c r="E123" t="s">
        <v>231</v>
      </c>
    </row>
    <row r="124" spans="5:5" x14ac:dyDescent="0.3">
      <c r="E124" t="s">
        <v>232</v>
      </c>
    </row>
    <row r="125" spans="5:5" x14ac:dyDescent="0.3">
      <c r="E125" t="s">
        <v>233</v>
      </c>
    </row>
    <row r="126" spans="5:5" x14ac:dyDescent="0.3">
      <c r="E126" t="s">
        <v>234</v>
      </c>
    </row>
    <row r="127" spans="5:5" x14ac:dyDescent="0.3">
      <c r="E127" t="s">
        <v>235</v>
      </c>
    </row>
    <row r="128" spans="5:5" x14ac:dyDescent="0.3">
      <c r="E128" t="s">
        <v>236</v>
      </c>
    </row>
    <row r="129" spans="5:5" x14ac:dyDescent="0.3">
      <c r="E129" t="s">
        <v>237</v>
      </c>
    </row>
    <row r="130" spans="5:5" x14ac:dyDescent="0.3">
      <c r="E130" t="s">
        <v>238</v>
      </c>
    </row>
    <row r="131" spans="5:5" x14ac:dyDescent="0.3">
      <c r="E131" t="s">
        <v>239</v>
      </c>
    </row>
    <row r="132" spans="5:5" x14ac:dyDescent="0.3">
      <c r="E132" t="s">
        <v>240</v>
      </c>
    </row>
    <row r="133" spans="5:5" x14ac:dyDescent="0.3">
      <c r="E133" t="s">
        <v>241</v>
      </c>
    </row>
    <row r="134" spans="5:5" x14ac:dyDescent="0.3">
      <c r="E134" t="s">
        <v>242</v>
      </c>
    </row>
    <row r="135" spans="5:5" x14ac:dyDescent="0.3">
      <c r="E135" t="s">
        <v>243</v>
      </c>
    </row>
    <row r="136" spans="5:5" x14ac:dyDescent="0.3">
      <c r="E136" t="s">
        <v>244</v>
      </c>
    </row>
    <row r="137" spans="5:5" x14ac:dyDescent="0.3">
      <c r="E137" t="s">
        <v>245</v>
      </c>
    </row>
    <row r="138" spans="5:5" x14ac:dyDescent="0.3">
      <c r="E138" t="s">
        <v>246</v>
      </c>
    </row>
    <row r="139" spans="5:5" x14ac:dyDescent="0.3">
      <c r="E139" t="s">
        <v>247</v>
      </c>
    </row>
    <row r="140" spans="5:5" x14ac:dyDescent="0.3">
      <c r="E140" t="s">
        <v>248</v>
      </c>
    </row>
    <row r="141" spans="5:5" x14ac:dyDescent="0.3">
      <c r="E141" t="s">
        <v>249</v>
      </c>
    </row>
    <row r="142" spans="5:5" x14ac:dyDescent="0.3">
      <c r="E142" t="s">
        <v>250</v>
      </c>
    </row>
    <row r="143" spans="5:5" x14ac:dyDescent="0.3">
      <c r="E143" t="s">
        <v>251</v>
      </c>
    </row>
    <row r="144" spans="5:5" x14ac:dyDescent="0.3">
      <c r="E144" t="s">
        <v>252</v>
      </c>
    </row>
    <row r="145" spans="5:5" x14ac:dyDescent="0.3">
      <c r="E145" t="s">
        <v>253</v>
      </c>
    </row>
    <row r="146" spans="5:5" x14ac:dyDescent="0.3">
      <c r="E146" t="s">
        <v>254</v>
      </c>
    </row>
    <row r="147" spans="5:5" x14ac:dyDescent="0.3">
      <c r="E147" t="s">
        <v>255</v>
      </c>
    </row>
    <row r="148" spans="5:5" x14ac:dyDescent="0.3">
      <c r="E148" t="s">
        <v>256</v>
      </c>
    </row>
    <row r="149" spans="5:5" x14ac:dyDescent="0.3">
      <c r="E149" t="s">
        <v>257</v>
      </c>
    </row>
    <row r="150" spans="5:5" x14ac:dyDescent="0.3">
      <c r="E150" t="s">
        <v>258</v>
      </c>
    </row>
    <row r="151" spans="5:5" x14ac:dyDescent="0.3">
      <c r="E151" t="s">
        <v>259</v>
      </c>
    </row>
    <row r="152" spans="5:5" x14ac:dyDescent="0.3">
      <c r="E152" t="s">
        <v>260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359F-623B-4FD0-89A0-CF9114E7D531}">
  <sheetPr>
    <tabColor rgb="FF00B0F0"/>
  </sheetPr>
  <dimension ref="A2:L27"/>
  <sheetViews>
    <sheetView showGridLines="0" workbookViewId="0">
      <selection activeCell="K22" sqref="K22"/>
    </sheetView>
  </sheetViews>
  <sheetFormatPr defaultRowHeight="14.4" x14ac:dyDescent="0.3"/>
  <cols>
    <col min="1" max="1" width="2" style="60" bestFit="1" customWidth="1"/>
    <col min="2" max="2" width="30.21875" customWidth="1"/>
    <col min="3" max="3" width="17.21875" customWidth="1"/>
    <col min="4" max="7" width="14.5546875" customWidth="1"/>
    <col min="8" max="8" width="12.5546875" customWidth="1"/>
  </cols>
  <sheetData>
    <row r="2" spans="3:12" x14ac:dyDescent="0.3">
      <c r="C2" s="96" t="s">
        <v>296</v>
      </c>
      <c r="D2" s="97"/>
      <c r="E2" s="98"/>
    </row>
    <row r="4" spans="3:12" ht="28.8" x14ac:dyDescent="0.3">
      <c r="D4" s="134" t="s">
        <v>261</v>
      </c>
      <c r="E4" s="134" t="s">
        <v>262</v>
      </c>
      <c r="F4" s="134" t="s">
        <v>263</v>
      </c>
      <c r="G4" s="134" t="s">
        <v>264</v>
      </c>
      <c r="H4" s="134" t="s">
        <v>265</v>
      </c>
      <c r="L4" s="26" t="s">
        <v>266</v>
      </c>
    </row>
    <row r="5" spans="3:12" x14ac:dyDescent="0.3">
      <c r="C5" t="s">
        <v>267</v>
      </c>
      <c r="D5" s="61"/>
      <c r="E5" s="61"/>
      <c r="F5" s="61"/>
      <c r="G5" s="62" t="e">
        <f>D5/F5</f>
        <v>#DIV/0!</v>
      </c>
      <c r="H5" s="63" t="e">
        <f>E5/D5</f>
        <v>#DIV/0!</v>
      </c>
    </row>
    <row r="6" spans="3:12" x14ac:dyDescent="0.3">
      <c r="C6" t="s">
        <v>52</v>
      </c>
      <c r="D6" s="61"/>
      <c r="E6" s="61"/>
      <c r="F6" s="61"/>
      <c r="G6" s="62" t="e">
        <f>D6/F6</f>
        <v>#DIV/0!</v>
      </c>
      <c r="H6" s="63" t="e">
        <f>E6/D6</f>
        <v>#DIV/0!</v>
      </c>
    </row>
    <row r="7" spans="3:12" x14ac:dyDescent="0.3">
      <c r="C7" s="64" t="s">
        <v>12</v>
      </c>
      <c r="D7" s="65">
        <f>D5-D6</f>
        <v>0</v>
      </c>
      <c r="E7" s="65">
        <f>E5-E6</f>
        <v>0</v>
      </c>
      <c r="F7" s="66">
        <f>F5-F6</f>
        <v>0</v>
      </c>
      <c r="G7" s="67" t="e">
        <f>D7/F7</f>
        <v>#DIV/0!</v>
      </c>
      <c r="H7" s="68" t="e">
        <f>E7/D7</f>
        <v>#DIV/0!</v>
      </c>
    </row>
    <row r="8" spans="3:12" x14ac:dyDescent="0.3">
      <c r="C8" s="26"/>
      <c r="D8" s="100"/>
      <c r="E8" s="100"/>
      <c r="F8" s="101"/>
      <c r="G8" s="102"/>
      <c r="H8" s="103"/>
    </row>
    <row r="10" spans="3:12" ht="28.8" x14ac:dyDescent="0.3">
      <c r="D10" s="133" t="s">
        <v>261</v>
      </c>
      <c r="E10" s="133" t="s">
        <v>262</v>
      </c>
      <c r="F10" s="133" t="s">
        <v>263</v>
      </c>
      <c r="G10" s="133" t="s">
        <v>264</v>
      </c>
      <c r="H10" s="133" t="s">
        <v>265</v>
      </c>
      <c r="L10" s="26" t="s">
        <v>268</v>
      </c>
    </row>
    <row r="11" spans="3:12" x14ac:dyDescent="0.3">
      <c r="C11" t="s">
        <v>267</v>
      </c>
      <c r="D11" s="61"/>
      <c r="E11" s="61"/>
      <c r="F11" s="61"/>
      <c r="G11" s="62" t="e">
        <f>D11/F11</f>
        <v>#DIV/0!</v>
      </c>
      <c r="H11" s="63" t="e">
        <f>E11/D11</f>
        <v>#DIV/0!</v>
      </c>
    </row>
    <row r="12" spans="3:12" x14ac:dyDescent="0.3">
      <c r="C12" t="s">
        <v>269</v>
      </c>
      <c r="D12" s="61"/>
      <c r="E12" s="61"/>
      <c r="F12" s="61"/>
      <c r="G12" s="62" t="e">
        <f>D12/F12</f>
        <v>#DIV/0!</v>
      </c>
      <c r="H12" s="63" t="e">
        <f>E12/D12</f>
        <v>#DIV/0!</v>
      </c>
    </row>
    <row r="13" spans="3:12" x14ac:dyDescent="0.3">
      <c r="C13" s="64" t="s">
        <v>12</v>
      </c>
      <c r="D13" s="65">
        <f>D11-D12</f>
        <v>0</v>
      </c>
      <c r="E13" s="65">
        <f>E11-E12</f>
        <v>0</v>
      </c>
      <c r="F13" s="66">
        <f>F11-F12</f>
        <v>0</v>
      </c>
      <c r="G13" s="67" t="e">
        <f>D13/F13</f>
        <v>#DIV/0!</v>
      </c>
      <c r="H13" s="68" t="e">
        <f>E13/D13</f>
        <v>#DIV/0!</v>
      </c>
    </row>
    <row r="14" spans="3:12" x14ac:dyDescent="0.3">
      <c r="C14" s="26"/>
      <c r="D14" s="100"/>
      <c r="E14" s="100"/>
      <c r="F14" s="101"/>
      <c r="G14" s="102"/>
      <c r="H14" s="103"/>
    </row>
    <row r="15" spans="3:12" ht="28.8" x14ac:dyDescent="0.3">
      <c r="D15" s="184" t="s">
        <v>261</v>
      </c>
      <c r="E15" s="184" t="s">
        <v>262</v>
      </c>
      <c r="F15" s="184" t="s">
        <v>263</v>
      </c>
      <c r="G15" s="184" t="s">
        <v>264</v>
      </c>
      <c r="H15" s="184" t="s">
        <v>265</v>
      </c>
    </row>
    <row r="16" spans="3:12" x14ac:dyDescent="0.3">
      <c r="C16" t="s">
        <v>269</v>
      </c>
      <c r="D16" s="61"/>
      <c r="E16" s="61"/>
      <c r="F16" s="61"/>
      <c r="G16" s="62" t="e">
        <f>D16/F16</f>
        <v>#DIV/0!</v>
      </c>
      <c r="H16" s="63" t="e">
        <f>E16/D16</f>
        <v>#DIV/0!</v>
      </c>
    </row>
    <row r="17" spans="1:8" x14ac:dyDescent="0.3">
      <c r="C17" t="s">
        <v>52</v>
      </c>
      <c r="D17" s="61"/>
      <c r="E17" s="61"/>
      <c r="F17" s="61"/>
      <c r="G17" s="62" t="e">
        <f>D17/F17</f>
        <v>#DIV/0!</v>
      </c>
      <c r="H17" s="63" t="e">
        <f>E17/D17</f>
        <v>#DIV/0!</v>
      </c>
    </row>
    <row r="18" spans="1:8" x14ac:dyDescent="0.3">
      <c r="C18" s="64" t="s">
        <v>12</v>
      </c>
      <c r="D18" s="65">
        <f>D16-D17</f>
        <v>0</v>
      </c>
      <c r="E18" s="65">
        <f>E16-E17</f>
        <v>0</v>
      </c>
      <c r="F18" s="66">
        <f>F16-F17</f>
        <v>0</v>
      </c>
      <c r="G18" s="67" t="e">
        <f>D18/F18</f>
        <v>#DIV/0!</v>
      </c>
      <c r="H18" s="68" t="e">
        <f>E18/D18</f>
        <v>#DIV/0!</v>
      </c>
    </row>
    <row r="21" spans="1:8" ht="15" thickBot="1" x14ac:dyDescent="0.35">
      <c r="B21" s="135" t="s">
        <v>270</v>
      </c>
      <c r="C21" s="212" t="s">
        <v>271</v>
      </c>
      <c r="D21" s="212"/>
      <c r="E21" s="213"/>
      <c r="F21" s="214" t="s">
        <v>272</v>
      </c>
      <c r="G21" s="214"/>
      <c r="H21" s="214"/>
    </row>
    <row r="22" spans="1:8" ht="37.950000000000003" customHeight="1" x14ac:dyDescent="0.3">
      <c r="A22" s="69">
        <v>1</v>
      </c>
      <c r="B22" s="118" t="s">
        <v>273</v>
      </c>
      <c r="C22" s="215"/>
      <c r="D22" s="216"/>
      <c r="E22" s="216"/>
      <c r="F22" s="219"/>
      <c r="G22" s="219"/>
      <c r="H22" s="219"/>
    </row>
    <row r="23" spans="1:8" ht="74.7" customHeight="1" x14ac:dyDescent="0.3">
      <c r="A23" s="69"/>
      <c r="B23" s="130" t="s">
        <v>274</v>
      </c>
      <c r="C23" s="215"/>
      <c r="D23" s="216"/>
      <c r="E23" s="216"/>
      <c r="F23" s="219"/>
      <c r="G23" s="219"/>
      <c r="H23" s="219"/>
    </row>
    <row r="24" spans="1:8" ht="53.7" customHeight="1" x14ac:dyDescent="0.3">
      <c r="A24" s="69">
        <v>2</v>
      </c>
      <c r="B24" s="119" t="s">
        <v>275</v>
      </c>
      <c r="C24" s="215"/>
      <c r="D24" s="216"/>
      <c r="E24" s="216"/>
      <c r="F24" s="219"/>
      <c r="G24" s="219"/>
      <c r="H24" s="219"/>
    </row>
    <row r="25" spans="1:8" ht="46.5" customHeight="1" x14ac:dyDescent="0.3">
      <c r="A25" s="69">
        <v>3</v>
      </c>
      <c r="B25" s="119" t="s">
        <v>276</v>
      </c>
      <c r="C25" s="217"/>
      <c r="D25" s="218"/>
      <c r="E25" s="218"/>
      <c r="F25" s="219"/>
      <c r="G25" s="219"/>
      <c r="H25" s="219"/>
    </row>
    <row r="26" spans="1:8" x14ac:dyDescent="0.3">
      <c r="A26" s="69"/>
    </row>
    <row r="27" spans="1:8" x14ac:dyDescent="0.3">
      <c r="A27" s="69"/>
    </row>
  </sheetData>
  <mergeCells count="10">
    <mergeCell ref="C25:E25"/>
    <mergeCell ref="F22:H22"/>
    <mergeCell ref="F23:H23"/>
    <mergeCell ref="F24:H24"/>
    <mergeCell ref="F25:H25"/>
    <mergeCell ref="C21:E21"/>
    <mergeCell ref="F21:H21"/>
    <mergeCell ref="C22:E22"/>
    <mergeCell ref="C23:E23"/>
    <mergeCell ref="C24:E24"/>
  </mergeCells>
  <pageMargins left="0.7" right="0.7" top="0.75" bottom="0.75" header="0.3" footer="0.3"/>
  <ignoredErrors>
    <ignoredError sqref="G5:H7 G11:G13 H11:H13 G16:H18" evalError="1"/>
  </ignoredErrors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B784A-CA51-4E09-BC7E-FC89D90B1D99}">
  <sheetPr>
    <tabColor rgb="FF7030A0"/>
  </sheetPr>
  <dimension ref="A2:S25"/>
  <sheetViews>
    <sheetView showGridLines="0" workbookViewId="0">
      <selection activeCell="I26" sqref="I26"/>
    </sheetView>
  </sheetViews>
  <sheetFormatPr defaultRowHeight="14.4" x14ac:dyDescent="0.3"/>
  <cols>
    <col min="1" max="1" width="2" style="60" bestFit="1" customWidth="1"/>
    <col min="2" max="2" width="17.21875" customWidth="1"/>
    <col min="3" max="3" width="13.5546875" customWidth="1"/>
    <col min="4" max="5" width="12.6640625" customWidth="1"/>
    <col min="6" max="6" width="19.77734375" customWidth="1"/>
    <col min="7" max="9" width="12.6640625" customWidth="1"/>
    <col min="10" max="10" width="12.5546875" customWidth="1"/>
    <col min="16383" max="16383" width="9.21875" bestFit="1" customWidth="1"/>
    <col min="16384" max="16384" width="9.21875" customWidth="1"/>
  </cols>
  <sheetData>
    <row r="2" spans="1:19" ht="18" x14ac:dyDescent="0.35">
      <c r="B2" t="s">
        <v>295</v>
      </c>
      <c r="F2" s="124" t="s">
        <v>277</v>
      </c>
      <c r="G2" s="127"/>
      <c r="H2" s="127"/>
      <c r="I2" s="127"/>
      <c r="J2" s="70"/>
      <c r="K2" s="71"/>
    </row>
    <row r="5" spans="1:19" x14ac:dyDescent="0.3">
      <c r="C5" s="192" t="str">
        <f>'FS Rollforward Template'!D10</f>
        <v>FY25 BDGT</v>
      </c>
      <c r="D5" s="220" t="s">
        <v>309</v>
      </c>
      <c r="E5" s="220" t="s">
        <v>306</v>
      </c>
    </row>
    <row r="6" spans="1:19" x14ac:dyDescent="0.3">
      <c r="C6" s="193" t="s">
        <v>278</v>
      </c>
      <c r="D6" s="221"/>
      <c r="E6" s="221"/>
    </row>
    <row r="7" spans="1:19" x14ac:dyDescent="0.3">
      <c r="C7" s="193" t="str">
        <f>'FS Rollforward Template'!N10</f>
        <v>Q2 FCST</v>
      </c>
      <c r="D7" s="221"/>
      <c r="E7" s="221"/>
    </row>
    <row r="8" spans="1:19" x14ac:dyDescent="0.3">
      <c r="C8" s="193" t="s">
        <v>293</v>
      </c>
      <c r="D8" s="222"/>
      <c r="E8" s="222"/>
    </row>
    <row r="9" spans="1:19" x14ac:dyDescent="0.3">
      <c r="B9" s="146" t="s">
        <v>19</v>
      </c>
      <c r="C9" s="149">
        <f>'FS Rollforward Template'!K15</f>
        <v>3</v>
      </c>
      <c r="D9" s="190">
        <f>(+G23/10000)</f>
        <v>3</v>
      </c>
      <c r="E9" s="190">
        <f>+C9-D9</f>
        <v>0</v>
      </c>
    </row>
    <row r="10" spans="1:19" x14ac:dyDescent="0.3">
      <c r="B10" s="147" t="s">
        <v>42</v>
      </c>
      <c r="C10" s="150">
        <f>'FS Rollforward Template'!K38</f>
        <v>-3</v>
      </c>
      <c r="D10" s="191">
        <f>(+H23/10000)</f>
        <v>-3</v>
      </c>
      <c r="E10" s="191">
        <f>+C10-D10</f>
        <v>0</v>
      </c>
    </row>
    <row r="11" spans="1:19" ht="15" thickBot="1" x14ac:dyDescent="0.35">
      <c r="B11" s="148" t="s">
        <v>43</v>
      </c>
      <c r="C11" s="151">
        <f>'FS Rollforward Template'!K40</f>
        <v>0</v>
      </c>
      <c r="D11" s="189">
        <f>+D9+D10</f>
        <v>0</v>
      </c>
      <c r="E11" s="189">
        <f>+C11-D11</f>
        <v>0</v>
      </c>
    </row>
    <row r="12" spans="1:19" ht="15" thickTop="1" x14ac:dyDescent="0.3"/>
    <row r="14" spans="1:19" x14ac:dyDescent="0.3">
      <c r="B14" s="213" t="s">
        <v>279</v>
      </c>
      <c r="C14" s="225"/>
      <c r="D14" s="225"/>
      <c r="E14" s="225"/>
      <c r="F14" s="225"/>
      <c r="G14" s="128" t="s">
        <v>13</v>
      </c>
      <c r="H14" s="182" t="s">
        <v>20</v>
      </c>
      <c r="I14" s="128" t="s">
        <v>280</v>
      </c>
      <c r="J14" s="225" t="s">
        <v>281</v>
      </c>
      <c r="K14" s="225"/>
      <c r="L14" s="225"/>
      <c r="M14" s="225"/>
      <c r="N14" s="225"/>
      <c r="O14" s="225"/>
      <c r="P14" s="225"/>
      <c r="Q14" s="225"/>
      <c r="R14" s="225"/>
      <c r="S14" s="226"/>
    </row>
    <row r="15" spans="1:19" x14ac:dyDescent="0.3">
      <c r="A15" s="69">
        <v>1</v>
      </c>
      <c r="B15" s="229" t="s">
        <v>282</v>
      </c>
      <c r="C15" s="230"/>
      <c r="D15" s="230"/>
      <c r="E15" s="230"/>
      <c r="F15" s="230"/>
      <c r="G15" s="188"/>
      <c r="H15" s="234"/>
      <c r="I15" s="187">
        <f>+G15-H15</f>
        <v>0</v>
      </c>
      <c r="J15" s="231"/>
      <c r="K15" s="232"/>
      <c r="L15" s="232"/>
      <c r="M15" s="232"/>
      <c r="N15" s="232"/>
      <c r="O15" s="232"/>
      <c r="P15" s="232"/>
      <c r="Q15" s="232"/>
      <c r="R15" s="232"/>
      <c r="S15" s="233"/>
    </row>
    <row r="16" spans="1:19" x14ac:dyDescent="0.3">
      <c r="A16" s="69">
        <v>2</v>
      </c>
      <c r="B16" s="227" t="s">
        <v>283</v>
      </c>
      <c r="C16" s="228"/>
      <c r="D16" s="228"/>
      <c r="E16" s="228"/>
      <c r="F16" s="228"/>
      <c r="G16" s="188"/>
      <c r="H16" s="234"/>
      <c r="I16" s="187">
        <f t="shared" ref="I16:I22" si="0">+G16-H16</f>
        <v>0</v>
      </c>
      <c r="J16" s="219"/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x14ac:dyDescent="0.3">
      <c r="A17" s="69">
        <v>3</v>
      </c>
      <c r="B17" s="111" t="s">
        <v>284</v>
      </c>
      <c r="C17" s="120"/>
      <c r="D17" s="120"/>
      <c r="E17" s="120"/>
      <c r="F17" s="120"/>
      <c r="G17" s="188">
        <v>20000</v>
      </c>
      <c r="H17" s="234">
        <v>-20000</v>
      </c>
      <c r="I17" s="187">
        <f>+G17-H17</f>
        <v>40000</v>
      </c>
      <c r="J17" s="219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x14ac:dyDescent="0.3">
      <c r="A18" s="69">
        <v>4</v>
      </c>
      <c r="B18" s="121" t="s">
        <v>285</v>
      </c>
      <c r="C18" s="122"/>
      <c r="D18" s="122"/>
      <c r="E18" s="122"/>
      <c r="F18" s="122"/>
      <c r="G18" s="188">
        <v>10000</v>
      </c>
      <c r="H18" s="234">
        <v>-10000</v>
      </c>
      <c r="I18" s="187">
        <f t="shared" si="0"/>
        <v>20000</v>
      </c>
      <c r="J18" s="219"/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x14ac:dyDescent="0.3">
      <c r="A19" s="69">
        <v>5</v>
      </c>
      <c r="B19" s="121" t="s">
        <v>286</v>
      </c>
      <c r="C19" s="122"/>
      <c r="D19" s="122"/>
      <c r="E19" s="122"/>
      <c r="F19" s="122"/>
      <c r="G19" s="188"/>
      <c r="H19" s="234"/>
      <c r="I19" s="187">
        <f t="shared" si="0"/>
        <v>0</v>
      </c>
      <c r="J19" s="219"/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x14ac:dyDescent="0.3">
      <c r="A20" s="69">
        <v>6</v>
      </c>
      <c r="B20" s="223" t="s">
        <v>287</v>
      </c>
      <c r="C20" s="224"/>
      <c r="D20" s="224"/>
      <c r="E20" s="224"/>
      <c r="F20" s="224"/>
      <c r="G20" s="188"/>
      <c r="H20" s="234"/>
      <c r="I20" s="187">
        <f t="shared" si="0"/>
        <v>0</v>
      </c>
      <c r="J20" s="219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x14ac:dyDescent="0.3">
      <c r="A21" s="69">
        <v>7</v>
      </c>
      <c r="B21" s="223" t="s">
        <v>288</v>
      </c>
      <c r="C21" s="224"/>
      <c r="D21" s="224"/>
      <c r="E21" s="224"/>
      <c r="F21" s="224"/>
      <c r="G21" s="188"/>
      <c r="H21" s="234"/>
      <c r="I21" s="187">
        <f t="shared" si="0"/>
        <v>0</v>
      </c>
      <c r="J21" s="219"/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x14ac:dyDescent="0.3">
      <c r="A22" s="69">
        <v>8</v>
      </c>
      <c r="B22" s="112" t="s">
        <v>41</v>
      </c>
      <c r="C22" s="70"/>
      <c r="D22" s="70"/>
      <c r="E22" s="70"/>
      <c r="F22" s="70"/>
      <c r="G22" s="188"/>
      <c r="H22" s="234"/>
      <c r="I22" s="187">
        <f t="shared" si="0"/>
        <v>0</v>
      </c>
      <c r="J22" s="112"/>
      <c r="K22" s="70"/>
      <c r="L22" s="70"/>
      <c r="M22" s="70"/>
      <c r="N22" s="70"/>
      <c r="O22" s="70"/>
      <c r="P22" s="70"/>
      <c r="Q22" s="70"/>
      <c r="R22" s="70"/>
      <c r="S22" s="71"/>
    </row>
    <row r="23" spans="1:19" x14ac:dyDescent="0.3">
      <c r="A23" s="69">
        <f>A22+1</f>
        <v>9</v>
      </c>
      <c r="B23" s="183" t="s">
        <v>294</v>
      </c>
      <c r="C23" s="64"/>
      <c r="D23" s="64"/>
      <c r="E23" s="64"/>
      <c r="F23" s="64"/>
      <c r="G23" s="129">
        <f t="shared" ref="G23:H23" si="1">SUM(G15:G22)</f>
        <v>30000</v>
      </c>
      <c r="H23" s="129">
        <f>SUM(H15:H22)</f>
        <v>-30000</v>
      </c>
      <c r="I23" s="129">
        <f>SUM(I15:I22)</f>
        <v>60000</v>
      </c>
      <c r="J23" s="70"/>
      <c r="K23" s="70"/>
      <c r="L23" s="70"/>
      <c r="M23" s="70"/>
      <c r="N23" s="70"/>
      <c r="O23" s="70"/>
      <c r="P23" s="70"/>
      <c r="Q23" s="70"/>
      <c r="R23" s="70"/>
      <c r="S23" s="71"/>
    </row>
    <row r="25" spans="1:19" x14ac:dyDescent="0.3">
      <c r="B25" s="131" t="s">
        <v>297</v>
      </c>
      <c r="C25" s="132"/>
      <c r="D25" s="132"/>
      <c r="E25" s="132"/>
      <c r="F25" s="132"/>
      <c r="G25" s="132"/>
      <c r="H25" s="132"/>
      <c r="I25" s="136" t="s">
        <v>289</v>
      </c>
    </row>
  </sheetData>
  <mergeCells count="15">
    <mergeCell ref="D5:D8"/>
    <mergeCell ref="E5:E8"/>
    <mergeCell ref="B21:F21"/>
    <mergeCell ref="J18:S18"/>
    <mergeCell ref="J19:S19"/>
    <mergeCell ref="J20:S20"/>
    <mergeCell ref="B14:F14"/>
    <mergeCell ref="J14:S14"/>
    <mergeCell ref="B16:F16"/>
    <mergeCell ref="B15:F15"/>
    <mergeCell ref="B20:F20"/>
    <mergeCell ref="J15:S15"/>
    <mergeCell ref="J16:S16"/>
    <mergeCell ref="J17:S17"/>
    <mergeCell ref="J21:S2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BAF31C4FDD4442B121CC00DE246878" ma:contentTypeVersion="6" ma:contentTypeDescription="Create a new document." ma:contentTypeScope="" ma:versionID="692b78950937be40a22055393b429c12">
  <xsd:schema xmlns:xsd="http://www.w3.org/2001/XMLSchema" xmlns:xs="http://www.w3.org/2001/XMLSchema" xmlns:p="http://schemas.microsoft.com/office/2006/metadata/properties" xmlns:ns2="96845004-0252-4258-896f-236f7b00b787" xmlns:ns3="c1479d8f-bf80-4a4d-b1b8-aa0a979989ab" targetNamespace="http://schemas.microsoft.com/office/2006/metadata/properties" ma:root="true" ma:fieldsID="474732d858f1fd3a7c5b0a1dec2a9c4c" ns2:_="" ns3:_="">
    <xsd:import namespace="96845004-0252-4258-896f-236f7b00b787"/>
    <xsd:import namespace="c1479d8f-bf80-4a4d-b1b8-aa0a979989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45004-0252-4258-896f-236f7b00b7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79d8f-bf80-4a4d-b1b8-aa0a979989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643EC4-8A67-42A5-9A91-EC23C3395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845004-0252-4258-896f-236f7b00b787"/>
    <ds:schemaRef ds:uri="c1479d8f-bf80-4a4d-b1b8-aa0a979989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F1224D-D57D-43ED-B526-D40BE05724E1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c1479d8f-bf80-4a4d-b1b8-aa0a979989ab"/>
    <ds:schemaRef ds:uri="http://schemas.openxmlformats.org/package/2006/metadata/core-properties"/>
    <ds:schemaRef ds:uri="96845004-0252-4258-896f-236f7b00b78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E1B1C0-62C0-40C8-A018-0907DB41C0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FS Rollforward Template</vt:lpstr>
      <vt:lpstr>Insert RPT119 or 119A</vt:lpstr>
      <vt:lpstr>SWB </vt:lpstr>
      <vt:lpstr>SWB Variance Input</vt:lpstr>
      <vt:lpstr>SWB Variables</vt:lpstr>
      <vt:lpstr>Professional Revenue</vt:lpstr>
      <vt:lpstr>Grants &amp; Gifts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Grandy, Tracie</dc:creator>
  <cp:keywords/>
  <dc:description/>
  <cp:lastModifiedBy>Clayton, Rachael D</cp:lastModifiedBy>
  <cp:revision/>
  <dcterms:created xsi:type="dcterms:W3CDTF">2023-11-03T18:13:08Z</dcterms:created>
  <dcterms:modified xsi:type="dcterms:W3CDTF">2025-01-17T20:07:22Z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792c8cef-6f2b-4af1-b4ac-d815ff795cd6_Enabled">
    <vt:lpwstr>true</vt:lpwstr>
  </property>
  <property fmtid="{D5CDD505-2E9C-101B-9397-08002B2CF9AE}" pid="5" name="MSIP_Label_792c8cef-6f2b-4af1-b4ac-d815ff795cd6_SetDate">
    <vt:lpwstr>2023-11-03T18:13:17Z</vt:lpwstr>
  </property>
  <property fmtid="{D5CDD505-2E9C-101B-9397-08002B2CF9AE}" pid="6" name="MSIP_Label_792c8cef-6f2b-4af1-b4ac-d815ff795cd6_Method">
    <vt:lpwstr>Standard</vt:lpwstr>
  </property>
  <property fmtid="{D5CDD505-2E9C-101B-9397-08002B2CF9AE}" pid="7" name="MSIP_Label_792c8cef-6f2b-4af1-b4ac-d815ff795cd6_Name">
    <vt:lpwstr>VUMC General</vt:lpwstr>
  </property>
  <property fmtid="{D5CDD505-2E9C-101B-9397-08002B2CF9AE}" pid="8" name="MSIP_Label_792c8cef-6f2b-4af1-b4ac-d815ff795cd6_SiteId">
    <vt:lpwstr>ef575030-1424-4ed8-b83c-12c533d879ab</vt:lpwstr>
  </property>
  <property fmtid="{D5CDD505-2E9C-101B-9397-08002B2CF9AE}" pid="9" name="MSIP_Label_792c8cef-6f2b-4af1-b4ac-d815ff795cd6_ActionId">
    <vt:lpwstr>ae5bbcb5-ce75-4b6f-bc60-8af754d741b2</vt:lpwstr>
  </property>
  <property fmtid="{D5CDD505-2E9C-101B-9397-08002B2CF9AE}" pid="10" name="MSIP_Label_792c8cef-6f2b-4af1-b4ac-d815ff795cd6_ContentBits">
    <vt:lpwstr>0</vt:lpwstr>
  </property>
  <property fmtid="{D5CDD505-2E9C-101B-9397-08002B2CF9AE}" pid="11" name="ContentTypeId">
    <vt:lpwstr>0x01010033BAF31C4FDD4442B121CC00DE246878</vt:lpwstr>
  </property>
</Properties>
</file>